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Questa_cartella_di_lavoro" defaultThemeVersion="124226"/>
  <bookViews>
    <workbookView xWindow="240" yWindow="72" windowWidth="8472" windowHeight="6660" activeTab="1"/>
  </bookViews>
  <sheets>
    <sheet name="Foglio1" sheetId="1" r:id="rId1"/>
    <sheet name="Foglio2" sheetId="2" r:id="rId2"/>
    <sheet name="Foglio3" sheetId="3" r:id="rId3"/>
  </sheets>
  <calcPr calcId="144525" iterate="1" iterateCount="10000"/>
</workbook>
</file>

<file path=xl/calcChain.xml><?xml version="1.0" encoding="utf-8"?>
<calcChain xmlns="http://schemas.openxmlformats.org/spreadsheetml/2006/main">
  <c r="B20" i="2" l="1"/>
  <c r="Q35" i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34" i="1"/>
  <c r="S34" i="1" s="1"/>
  <c r="S33" i="1"/>
  <c r="S52" i="1" l="1"/>
  <c r="S50" i="1"/>
  <c r="S48" i="1"/>
  <c r="S46" i="1"/>
  <c r="S44" i="1"/>
  <c r="S42" i="1"/>
  <c r="S40" i="1"/>
  <c r="S38" i="1"/>
  <c r="S36" i="1"/>
  <c r="S53" i="1"/>
  <c r="S51" i="1"/>
  <c r="S49" i="1"/>
  <c r="S47" i="1"/>
  <c r="S45" i="1"/>
  <c r="S43" i="1"/>
  <c r="S41" i="1"/>
  <c r="S39" i="1"/>
  <c r="S37" i="1"/>
  <c r="S35" i="1"/>
  <c r="B8" i="1"/>
  <c r="B7" i="1"/>
  <c r="R34" i="1" s="1"/>
  <c r="R35" i="1" l="1"/>
  <c r="R43" i="1"/>
  <c r="R37" i="1"/>
  <c r="R41" i="1"/>
  <c r="R45" i="1"/>
  <c r="R49" i="1"/>
  <c r="R53" i="1"/>
  <c r="R38" i="1"/>
  <c r="R42" i="1"/>
  <c r="R46" i="1"/>
  <c r="R50" i="1"/>
  <c r="R33" i="1"/>
  <c r="R39" i="1"/>
  <c r="R47" i="1"/>
  <c r="R51" i="1"/>
  <c r="R36" i="1"/>
  <c r="R40" i="1"/>
  <c r="R44" i="1"/>
  <c r="R48" i="1"/>
  <c r="R52" i="1"/>
  <c r="B31" i="2"/>
  <c r="B30" i="2"/>
  <c r="B9" i="2"/>
  <c r="F1" i="1" l="1"/>
  <c r="B7" i="2"/>
  <c r="B8" i="2"/>
  <c r="C32" i="2" l="1"/>
  <c r="B14" i="1" l="1"/>
  <c r="B11" i="1"/>
  <c r="B6" i="1"/>
  <c r="B10" i="1"/>
  <c r="B9" i="1"/>
  <c r="B12" i="1"/>
  <c r="B2" i="1"/>
  <c r="B3" i="1"/>
  <c r="B4" i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1" i="1"/>
  <c r="B5" i="1"/>
  <c r="K33" i="1" l="1"/>
  <c r="I133" i="1"/>
  <c r="K133" i="1" s="1"/>
  <c r="H33" i="1" l="1"/>
  <c r="A69" i="1" s="1"/>
  <c r="H133" i="1"/>
  <c r="A129" i="1" s="1"/>
  <c r="I34" i="1"/>
  <c r="E69" i="1" l="1"/>
  <c r="C69" i="1"/>
  <c r="E129" i="1"/>
  <c r="C129" i="1" s="1"/>
  <c r="A70" i="1"/>
  <c r="I35" i="1"/>
  <c r="K34" i="1"/>
  <c r="H34" i="1" s="1"/>
  <c r="B69" i="1" l="1"/>
  <c r="D69" i="1" s="1"/>
  <c r="E70" i="1"/>
  <c r="C70" i="1"/>
  <c r="A71" i="1"/>
  <c r="K35" i="1"/>
  <c r="H35" i="1" s="1"/>
  <c r="I36" i="1"/>
  <c r="C71" i="1" l="1"/>
  <c r="E71" i="1"/>
  <c r="A72" i="1"/>
  <c r="I37" i="1"/>
  <c r="K36" i="1"/>
  <c r="H36" i="1" s="1"/>
  <c r="E72" i="1" l="1"/>
  <c r="C72" i="1"/>
  <c r="A73" i="1"/>
  <c r="K37" i="1"/>
  <c r="H37" i="1" s="1"/>
  <c r="I38" i="1"/>
  <c r="C73" i="1" l="1"/>
  <c r="E73" i="1"/>
  <c r="A74" i="1"/>
  <c r="I39" i="1"/>
  <c r="K38" i="1"/>
  <c r="H38" i="1" s="1"/>
  <c r="E74" i="1" l="1"/>
  <c r="C74" i="1"/>
  <c r="A75" i="1"/>
  <c r="K39" i="1"/>
  <c r="H39" i="1" s="1"/>
  <c r="I40" i="1"/>
  <c r="C75" i="1" l="1"/>
  <c r="E75" i="1"/>
  <c r="A76" i="1"/>
  <c r="I41" i="1"/>
  <c r="K40" i="1"/>
  <c r="H40" i="1" s="1"/>
  <c r="E76" i="1" l="1"/>
  <c r="C76" i="1"/>
  <c r="A77" i="1"/>
  <c r="K41" i="1"/>
  <c r="H41" i="1" s="1"/>
  <c r="I42" i="1"/>
  <c r="C77" i="1" l="1"/>
  <c r="E77" i="1"/>
  <c r="A78" i="1"/>
  <c r="I43" i="1"/>
  <c r="K42" i="1"/>
  <c r="H42" i="1" s="1"/>
  <c r="E78" i="1" l="1"/>
  <c r="C78" i="1"/>
  <c r="A79" i="1"/>
  <c r="K43" i="1"/>
  <c r="H43" i="1" s="1"/>
  <c r="I44" i="1"/>
  <c r="C79" i="1" l="1"/>
  <c r="E79" i="1"/>
  <c r="A80" i="1"/>
  <c r="K44" i="1"/>
  <c r="H44" i="1" s="1"/>
  <c r="I45" i="1"/>
  <c r="E80" i="1" l="1"/>
  <c r="C80" i="1"/>
  <c r="A81" i="1"/>
  <c r="K45" i="1"/>
  <c r="H45" i="1" s="1"/>
  <c r="I46" i="1"/>
  <c r="C81" i="1" l="1"/>
  <c r="E81" i="1"/>
  <c r="A82" i="1"/>
  <c r="K46" i="1"/>
  <c r="H46" i="1" s="1"/>
  <c r="I47" i="1"/>
  <c r="E82" i="1" l="1"/>
  <c r="C82" i="1"/>
  <c r="A83" i="1"/>
  <c r="K47" i="1"/>
  <c r="H47" i="1" s="1"/>
  <c r="I48" i="1"/>
  <c r="C83" i="1" l="1"/>
  <c r="E83" i="1"/>
  <c r="A84" i="1"/>
  <c r="I49" i="1"/>
  <c r="K48" i="1"/>
  <c r="H48" i="1" s="1"/>
  <c r="E84" i="1" l="1"/>
  <c r="C84" i="1"/>
  <c r="A85" i="1"/>
  <c r="K49" i="1"/>
  <c r="H49" i="1" s="1"/>
  <c r="I50" i="1"/>
  <c r="B129" i="1" l="1"/>
  <c r="C85" i="1"/>
  <c r="E85" i="1"/>
  <c r="A86" i="1"/>
  <c r="I51" i="1"/>
  <c r="K50" i="1"/>
  <c r="H50" i="1" s="1"/>
  <c r="D129" i="1" l="1"/>
  <c r="B70" i="1"/>
  <c r="D70" i="1" s="1"/>
  <c r="E86" i="1"/>
  <c r="C86" i="1"/>
  <c r="A87" i="1"/>
  <c r="K51" i="1"/>
  <c r="H51" i="1" s="1"/>
  <c r="I52" i="1"/>
  <c r="B71" i="1" l="1"/>
  <c r="E87" i="1"/>
  <c r="C87" i="1" s="1"/>
  <c r="A88" i="1"/>
  <c r="I53" i="1"/>
  <c r="K52" i="1"/>
  <c r="H52" i="1" s="1"/>
  <c r="D71" i="1" l="1"/>
  <c r="B72" i="1"/>
  <c r="E88" i="1"/>
  <c r="C88" i="1" s="1"/>
  <c r="A89" i="1"/>
  <c r="K53" i="1"/>
  <c r="H53" i="1" s="1"/>
  <c r="I54" i="1"/>
  <c r="D72" i="1" l="1"/>
  <c r="B73" i="1"/>
  <c r="E89" i="1"/>
  <c r="C89" i="1" s="1"/>
  <c r="A90" i="1"/>
  <c r="I55" i="1"/>
  <c r="K54" i="1"/>
  <c r="H54" i="1" s="1"/>
  <c r="D73" i="1" l="1"/>
  <c r="B74" i="1"/>
  <c r="E90" i="1"/>
  <c r="C90" i="1" s="1"/>
  <c r="A91" i="1"/>
  <c r="K55" i="1"/>
  <c r="H55" i="1" s="1"/>
  <c r="I56" i="1"/>
  <c r="D74" i="1" l="1"/>
  <c r="B75" i="1"/>
  <c r="E91" i="1"/>
  <c r="C91" i="1" s="1"/>
  <c r="A92" i="1"/>
  <c r="I57" i="1"/>
  <c r="K56" i="1"/>
  <c r="H56" i="1" s="1"/>
  <c r="D75" i="1" l="1"/>
  <c r="B76" i="1"/>
  <c r="E92" i="1"/>
  <c r="C92" i="1" s="1"/>
  <c r="A93" i="1"/>
  <c r="K57" i="1"/>
  <c r="H57" i="1" s="1"/>
  <c r="I58" i="1"/>
  <c r="D76" i="1" l="1"/>
  <c r="B77" i="1"/>
  <c r="E93" i="1"/>
  <c r="C93" i="1" s="1"/>
  <c r="A94" i="1"/>
  <c r="I59" i="1"/>
  <c r="K58" i="1"/>
  <c r="H58" i="1" s="1"/>
  <c r="D77" i="1" l="1"/>
  <c r="B78" i="1"/>
  <c r="E94" i="1"/>
  <c r="C94" i="1" s="1"/>
  <c r="A95" i="1"/>
  <c r="K59" i="1"/>
  <c r="H59" i="1" s="1"/>
  <c r="I60" i="1"/>
  <c r="D78" i="1" l="1"/>
  <c r="B79" i="1"/>
  <c r="E95" i="1"/>
  <c r="C95" i="1" s="1"/>
  <c r="A96" i="1"/>
  <c r="K60" i="1"/>
  <c r="H60" i="1" s="1"/>
  <c r="I61" i="1"/>
  <c r="D79" i="1" l="1"/>
  <c r="B80" i="1"/>
  <c r="E96" i="1"/>
  <c r="C96" i="1" s="1"/>
  <c r="A97" i="1"/>
  <c r="K61" i="1"/>
  <c r="H61" i="1" s="1"/>
  <c r="I62" i="1"/>
  <c r="D80" i="1" l="1"/>
  <c r="B81" i="1"/>
  <c r="E97" i="1"/>
  <c r="C97" i="1" s="1"/>
  <c r="A98" i="1"/>
  <c r="I63" i="1"/>
  <c r="K62" i="1"/>
  <c r="H62" i="1" s="1"/>
  <c r="D81" i="1" l="1"/>
  <c r="B82" i="1"/>
  <c r="E98" i="1"/>
  <c r="C98" i="1" s="1"/>
  <c r="A99" i="1"/>
  <c r="K63" i="1"/>
  <c r="H63" i="1" s="1"/>
  <c r="I64" i="1"/>
  <c r="D82" i="1" l="1"/>
  <c r="B83" i="1"/>
  <c r="E99" i="1"/>
  <c r="C99" i="1" s="1"/>
  <c r="A100" i="1"/>
  <c r="I65" i="1"/>
  <c r="K64" i="1"/>
  <c r="H64" i="1" s="1"/>
  <c r="D83" i="1" l="1"/>
  <c r="B84" i="1"/>
  <c r="E100" i="1"/>
  <c r="C100" i="1" s="1"/>
  <c r="A101" i="1"/>
  <c r="K65" i="1"/>
  <c r="H65" i="1" s="1"/>
  <c r="I66" i="1"/>
  <c r="D84" i="1" l="1"/>
  <c r="B85" i="1"/>
  <c r="E101" i="1"/>
  <c r="C101" i="1" s="1"/>
  <c r="A102" i="1"/>
  <c r="I67" i="1"/>
  <c r="K66" i="1"/>
  <c r="H66" i="1" s="1"/>
  <c r="D85" i="1" l="1"/>
  <c r="B86" i="1"/>
  <c r="E102" i="1"/>
  <c r="C102" i="1" s="1"/>
  <c r="A103" i="1"/>
  <c r="K67" i="1"/>
  <c r="H67" i="1" s="1"/>
  <c r="I68" i="1"/>
  <c r="D86" i="1" l="1"/>
  <c r="B87" i="1"/>
  <c r="E103" i="1"/>
  <c r="C103" i="1" s="1"/>
  <c r="A104" i="1"/>
  <c r="K68" i="1"/>
  <c r="H68" i="1" s="1"/>
  <c r="I69" i="1"/>
  <c r="D87" i="1" l="1"/>
  <c r="B88" i="1"/>
  <c r="E104" i="1"/>
  <c r="C104" i="1" s="1"/>
  <c r="A105" i="1"/>
  <c r="K69" i="1"/>
  <c r="H69" i="1" s="1"/>
  <c r="I70" i="1"/>
  <c r="D88" i="1" l="1"/>
  <c r="B89" i="1"/>
  <c r="E105" i="1"/>
  <c r="C105" i="1" s="1"/>
  <c r="A106" i="1"/>
  <c r="I71" i="1"/>
  <c r="K70" i="1"/>
  <c r="H70" i="1" s="1"/>
  <c r="D89" i="1" l="1"/>
  <c r="B90" i="1"/>
  <c r="E106" i="1"/>
  <c r="C106" i="1" s="1"/>
  <c r="A107" i="1"/>
  <c r="K71" i="1"/>
  <c r="H71" i="1" s="1"/>
  <c r="I72" i="1"/>
  <c r="D90" i="1" l="1"/>
  <c r="B91" i="1"/>
  <c r="E107" i="1"/>
  <c r="C107" i="1" s="1"/>
  <c r="A108" i="1"/>
  <c r="I73" i="1"/>
  <c r="K72" i="1"/>
  <c r="H72" i="1" s="1"/>
  <c r="D91" i="1" l="1"/>
  <c r="B92" i="1"/>
  <c r="E108" i="1"/>
  <c r="C108" i="1" s="1"/>
  <c r="A109" i="1"/>
  <c r="K73" i="1"/>
  <c r="H73" i="1" s="1"/>
  <c r="I74" i="1"/>
  <c r="D92" i="1" l="1"/>
  <c r="B93" i="1"/>
  <c r="E109" i="1"/>
  <c r="C109" i="1" s="1"/>
  <c r="A110" i="1"/>
  <c r="K74" i="1"/>
  <c r="H74" i="1" s="1"/>
  <c r="I75" i="1"/>
  <c r="D93" i="1" l="1"/>
  <c r="B94" i="1"/>
  <c r="E110" i="1"/>
  <c r="C110" i="1" s="1"/>
  <c r="A111" i="1"/>
  <c r="I76" i="1"/>
  <c r="K75" i="1"/>
  <c r="H75" i="1" s="1"/>
  <c r="D94" i="1" l="1"/>
  <c r="B95" i="1"/>
  <c r="E111" i="1"/>
  <c r="C111" i="1" s="1"/>
  <c r="A112" i="1"/>
  <c r="K76" i="1"/>
  <c r="H76" i="1" s="1"/>
  <c r="I77" i="1"/>
  <c r="D95" i="1" l="1"/>
  <c r="B96" i="1"/>
  <c r="E112" i="1"/>
  <c r="C112" i="1" s="1"/>
  <c r="A113" i="1"/>
  <c r="K77" i="1"/>
  <c r="H77" i="1" s="1"/>
  <c r="I78" i="1"/>
  <c r="D96" i="1" l="1"/>
  <c r="B97" i="1"/>
  <c r="E113" i="1"/>
  <c r="C113" i="1" s="1"/>
  <c r="A114" i="1"/>
  <c r="K78" i="1"/>
  <c r="H78" i="1" s="1"/>
  <c r="I79" i="1"/>
  <c r="D97" i="1" l="1"/>
  <c r="B98" i="1"/>
  <c r="E114" i="1"/>
  <c r="C114" i="1" s="1"/>
  <c r="A115" i="1"/>
  <c r="I80" i="1"/>
  <c r="K79" i="1"/>
  <c r="H79" i="1" s="1"/>
  <c r="D98" i="1" l="1"/>
  <c r="B99" i="1"/>
  <c r="E115" i="1"/>
  <c r="C115" i="1" s="1"/>
  <c r="A116" i="1"/>
  <c r="K80" i="1"/>
  <c r="H80" i="1" s="1"/>
  <c r="I81" i="1"/>
  <c r="D99" i="1" l="1"/>
  <c r="B100" i="1"/>
  <c r="E116" i="1"/>
  <c r="C116" i="1" s="1"/>
  <c r="A117" i="1"/>
  <c r="K81" i="1"/>
  <c r="H81" i="1" s="1"/>
  <c r="I82" i="1"/>
  <c r="D100" i="1" l="1"/>
  <c r="B101" i="1"/>
  <c r="E117" i="1"/>
  <c r="C117" i="1" s="1"/>
  <c r="A118" i="1"/>
  <c r="K82" i="1"/>
  <c r="H82" i="1" s="1"/>
  <c r="I83" i="1"/>
  <c r="D101" i="1" l="1"/>
  <c r="B102" i="1"/>
  <c r="E118" i="1"/>
  <c r="C118" i="1" s="1"/>
  <c r="A119" i="1"/>
  <c r="K83" i="1"/>
  <c r="H83" i="1" s="1"/>
  <c r="I84" i="1"/>
  <c r="D102" i="1" l="1"/>
  <c r="B103" i="1"/>
  <c r="E119" i="1"/>
  <c r="C119" i="1" s="1"/>
  <c r="A120" i="1"/>
  <c r="K84" i="1"/>
  <c r="H84" i="1" s="1"/>
  <c r="I85" i="1"/>
  <c r="D103" i="1" l="1"/>
  <c r="B104" i="1"/>
  <c r="E120" i="1"/>
  <c r="C120" i="1" s="1"/>
  <c r="A121" i="1"/>
  <c r="K85" i="1"/>
  <c r="H85" i="1" s="1"/>
  <c r="I86" i="1"/>
  <c r="D104" i="1" l="1"/>
  <c r="B105" i="1"/>
  <c r="E121" i="1"/>
  <c r="C121" i="1" s="1"/>
  <c r="A122" i="1"/>
  <c r="K86" i="1"/>
  <c r="H86" i="1" s="1"/>
  <c r="I87" i="1"/>
  <c r="D105" i="1" l="1"/>
  <c r="B106" i="1"/>
  <c r="E122" i="1"/>
  <c r="C122" i="1" s="1"/>
  <c r="A123" i="1"/>
  <c r="K87" i="1"/>
  <c r="H87" i="1" s="1"/>
  <c r="I88" i="1"/>
  <c r="D106" i="1" l="1"/>
  <c r="B107" i="1"/>
  <c r="E123" i="1"/>
  <c r="C123" i="1" s="1"/>
  <c r="A124" i="1"/>
  <c r="I89" i="1"/>
  <c r="K88" i="1"/>
  <c r="H88" i="1" s="1"/>
  <c r="D107" i="1" l="1"/>
  <c r="B108" i="1"/>
  <c r="E124" i="1"/>
  <c r="C124" i="1" s="1"/>
  <c r="A125" i="1"/>
  <c r="K89" i="1"/>
  <c r="H89" i="1" s="1"/>
  <c r="I90" i="1"/>
  <c r="D108" i="1" l="1"/>
  <c r="B109" i="1"/>
  <c r="E125" i="1"/>
  <c r="C125" i="1" s="1"/>
  <c r="A126" i="1"/>
  <c r="K90" i="1"/>
  <c r="H90" i="1" s="1"/>
  <c r="I91" i="1"/>
  <c r="D109" i="1" l="1"/>
  <c r="B110" i="1"/>
  <c r="E126" i="1"/>
  <c r="C126" i="1" s="1"/>
  <c r="A127" i="1"/>
  <c r="K91" i="1"/>
  <c r="H91" i="1" s="1"/>
  <c r="I92" i="1"/>
  <c r="D110" i="1" l="1"/>
  <c r="B111" i="1"/>
  <c r="E127" i="1"/>
  <c r="C127" i="1" s="1"/>
  <c r="A128" i="1"/>
  <c r="K92" i="1"/>
  <c r="H92" i="1" s="1"/>
  <c r="I93" i="1"/>
  <c r="D111" i="1" l="1"/>
  <c r="B112" i="1"/>
  <c r="E128" i="1"/>
  <c r="C128" i="1" s="1"/>
  <c r="K93" i="1"/>
  <c r="H93" i="1" s="1"/>
  <c r="I94" i="1"/>
  <c r="D112" i="1" l="1"/>
  <c r="B113" i="1"/>
  <c r="K94" i="1"/>
  <c r="H94" i="1" s="1"/>
  <c r="I95" i="1"/>
  <c r="D113" i="1" l="1"/>
  <c r="B114" i="1"/>
  <c r="K95" i="1"/>
  <c r="H95" i="1" s="1"/>
  <c r="I96" i="1"/>
  <c r="D114" i="1" l="1"/>
  <c r="B115" i="1"/>
  <c r="I97" i="1"/>
  <c r="K96" i="1"/>
  <c r="H96" i="1" s="1"/>
  <c r="D115" i="1" l="1"/>
  <c r="B116" i="1"/>
  <c r="K97" i="1"/>
  <c r="H97" i="1" s="1"/>
  <c r="I98" i="1"/>
  <c r="D116" i="1" l="1"/>
  <c r="B117" i="1"/>
  <c r="K98" i="1"/>
  <c r="H98" i="1" s="1"/>
  <c r="I99" i="1"/>
  <c r="D117" i="1" l="1"/>
  <c r="B118" i="1"/>
  <c r="K99" i="1"/>
  <c r="H99" i="1" s="1"/>
  <c r="I100" i="1"/>
  <c r="D118" i="1" l="1"/>
  <c r="B119" i="1"/>
  <c r="K100" i="1"/>
  <c r="H100" i="1" s="1"/>
  <c r="I101" i="1"/>
  <c r="D119" i="1" l="1"/>
  <c r="B120" i="1"/>
  <c r="K101" i="1"/>
  <c r="H101" i="1" s="1"/>
  <c r="I102" i="1"/>
  <c r="D120" i="1" l="1"/>
  <c r="B121" i="1"/>
  <c r="K102" i="1"/>
  <c r="H102" i="1" s="1"/>
  <c r="I103" i="1"/>
  <c r="D121" i="1" l="1"/>
  <c r="B122" i="1"/>
  <c r="K103" i="1"/>
  <c r="H103" i="1" s="1"/>
  <c r="I104" i="1"/>
  <c r="D122" i="1" l="1"/>
  <c r="B123" i="1"/>
  <c r="I105" i="1"/>
  <c r="K104" i="1"/>
  <c r="H104" i="1" s="1"/>
  <c r="D123" i="1" l="1"/>
  <c r="B124" i="1"/>
  <c r="K105" i="1"/>
  <c r="H105" i="1" s="1"/>
  <c r="I106" i="1"/>
  <c r="D124" i="1" l="1"/>
  <c r="B125" i="1"/>
  <c r="K106" i="1"/>
  <c r="H106" i="1" s="1"/>
  <c r="I107" i="1"/>
  <c r="D125" i="1" l="1"/>
  <c r="B126" i="1"/>
  <c r="K107" i="1"/>
  <c r="H107" i="1" s="1"/>
  <c r="I108" i="1"/>
  <c r="D126" i="1" l="1"/>
  <c r="B127" i="1"/>
  <c r="K108" i="1"/>
  <c r="H108" i="1" s="1"/>
  <c r="I109" i="1"/>
  <c r="D127" i="1" l="1"/>
  <c r="B128" i="1"/>
  <c r="D128" i="1" s="1"/>
  <c r="K109" i="1"/>
  <c r="H109" i="1" s="1"/>
  <c r="I110" i="1"/>
  <c r="K110" i="1" l="1"/>
  <c r="H110" i="1" s="1"/>
  <c r="I111" i="1"/>
  <c r="K111" i="1" l="1"/>
  <c r="H111" i="1" s="1"/>
  <c r="I112" i="1"/>
  <c r="K112" i="1" l="1"/>
  <c r="H112" i="1" s="1"/>
  <c r="I113" i="1"/>
  <c r="K113" i="1" l="1"/>
  <c r="H113" i="1" s="1"/>
  <c r="I114" i="1"/>
  <c r="K114" i="1" l="1"/>
  <c r="H114" i="1" s="1"/>
  <c r="I115" i="1"/>
  <c r="K115" i="1" l="1"/>
  <c r="H115" i="1" s="1"/>
  <c r="I116" i="1"/>
  <c r="K116" i="1" l="1"/>
  <c r="H116" i="1" s="1"/>
  <c r="I117" i="1"/>
  <c r="K117" i="1" l="1"/>
  <c r="H117" i="1" s="1"/>
  <c r="I118" i="1"/>
  <c r="K118" i="1" l="1"/>
  <c r="H118" i="1" s="1"/>
  <c r="I119" i="1"/>
  <c r="K119" i="1" l="1"/>
  <c r="H119" i="1" s="1"/>
  <c r="I120" i="1"/>
  <c r="K120" i="1" l="1"/>
  <c r="H120" i="1" s="1"/>
  <c r="I121" i="1"/>
  <c r="K121" i="1" l="1"/>
  <c r="H121" i="1" s="1"/>
  <c r="I122" i="1"/>
  <c r="K122" i="1" l="1"/>
  <c r="H122" i="1" s="1"/>
  <c r="I123" i="1"/>
  <c r="K123" i="1" l="1"/>
  <c r="H123" i="1" s="1"/>
  <c r="I124" i="1"/>
  <c r="K124" i="1" l="1"/>
  <c r="H124" i="1" s="1"/>
  <c r="I125" i="1"/>
  <c r="K125" i="1" l="1"/>
  <c r="H125" i="1" s="1"/>
  <c r="I126" i="1"/>
  <c r="K126" i="1" l="1"/>
  <c r="H126" i="1" s="1"/>
  <c r="I127" i="1"/>
  <c r="I128" i="1" l="1"/>
  <c r="K127" i="1"/>
  <c r="H127" i="1" s="1"/>
  <c r="K128" i="1" l="1"/>
  <c r="H128" i="1" s="1"/>
  <c r="I129" i="1"/>
  <c r="I130" i="1" l="1"/>
  <c r="K129" i="1"/>
  <c r="H129" i="1" s="1"/>
  <c r="K130" i="1" l="1"/>
  <c r="H130" i="1" s="1"/>
  <c r="I131" i="1"/>
  <c r="I132" i="1" l="1"/>
  <c r="K132" i="1" s="1"/>
  <c r="H132" i="1" s="1"/>
  <c r="K131" i="1"/>
  <c r="H131" i="1" s="1"/>
  <c r="F3" i="1"/>
  <c r="F4" i="1"/>
  <c r="F5" i="1"/>
  <c r="F6" i="1"/>
  <c r="F7" i="1"/>
  <c r="F8" i="1"/>
  <c r="F9" i="1"/>
  <c r="H9" i="1"/>
  <c r="F10" i="1"/>
  <c r="H10" i="1"/>
  <c r="F11" i="1"/>
  <c r="F12" i="1"/>
  <c r="F15" i="1"/>
  <c r="F16" i="1"/>
  <c r="A17" i="1"/>
  <c r="F17" i="1"/>
  <c r="A18" i="1"/>
  <c r="F18" i="1"/>
  <c r="F19" i="1"/>
  <c r="B20" i="1"/>
  <c r="F20" i="1"/>
  <c r="H20" i="1"/>
  <c r="F21" i="1"/>
  <c r="H21" i="1"/>
  <c r="F22" i="1"/>
  <c r="B23" i="1"/>
  <c r="F23" i="1"/>
  <c r="B24" i="1"/>
  <c r="F24" i="1"/>
  <c r="B26" i="1"/>
  <c r="E33" i="1"/>
  <c r="F33" i="1"/>
  <c r="J33" i="1"/>
  <c r="L33" i="1"/>
  <c r="M33" i="1"/>
  <c r="O33" i="1"/>
  <c r="E34" i="1"/>
  <c r="F34" i="1"/>
  <c r="J34" i="1"/>
  <c r="L34" i="1"/>
  <c r="M34" i="1"/>
  <c r="O34" i="1"/>
  <c r="E35" i="1"/>
  <c r="F35" i="1"/>
  <c r="J35" i="1"/>
  <c r="L35" i="1"/>
  <c r="M35" i="1"/>
  <c r="O35" i="1"/>
  <c r="E36" i="1"/>
  <c r="F36" i="1"/>
  <c r="J36" i="1"/>
  <c r="L36" i="1"/>
  <c r="M36" i="1"/>
  <c r="O36" i="1"/>
  <c r="E37" i="1"/>
  <c r="F37" i="1"/>
  <c r="J37" i="1"/>
  <c r="L37" i="1"/>
  <c r="M37" i="1"/>
  <c r="O37" i="1"/>
  <c r="E38" i="1"/>
  <c r="F38" i="1"/>
  <c r="J38" i="1"/>
  <c r="L38" i="1"/>
  <c r="M38" i="1"/>
  <c r="O38" i="1"/>
  <c r="E39" i="1"/>
  <c r="F39" i="1"/>
  <c r="J39" i="1"/>
  <c r="L39" i="1"/>
  <c r="M39" i="1"/>
  <c r="O39" i="1"/>
  <c r="E40" i="1"/>
  <c r="F40" i="1"/>
  <c r="J40" i="1"/>
  <c r="L40" i="1"/>
  <c r="M40" i="1"/>
  <c r="O40" i="1"/>
  <c r="E41" i="1"/>
  <c r="F41" i="1"/>
  <c r="J41" i="1"/>
  <c r="L41" i="1"/>
  <c r="M41" i="1"/>
  <c r="O41" i="1"/>
  <c r="E42" i="1"/>
  <c r="F42" i="1"/>
  <c r="J42" i="1"/>
  <c r="L42" i="1"/>
  <c r="M42" i="1"/>
  <c r="O42" i="1"/>
  <c r="E43" i="1"/>
  <c r="F43" i="1"/>
  <c r="J43" i="1"/>
  <c r="L43" i="1"/>
  <c r="M43" i="1"/>
  <c r="O43" i="1"/>
  <c r="J44" i="1"/>
  <c r="L44" i="1"/>
  <c r="M44" i="1"/>
  <c r="O44" i="1"/>
  <c r="J45" i="1"/>
  <c r="L45" i="1"/>
  <c r="M45" i="1"/>
  <c r="O45" i="1"/>
  <c r="J46" i="1"/>
  <c r="L46" i="1"/>
  <c r="M46" i="1"/>
  <c r="O46" i="1"/>
  <c r="J47" i="1"/>
  <c r="L47" i="1"/>
  <c r="M47" i="1"/>
  <c r="O47" i="1"/>
  <c r="J48" i="1"/>
  <c r="L48" i="1"/>
  <c r="M48" i="1"/>
  <c r="O48" i="1"/>
  <c r="J49" i="1"/>
  <c r="L49" i="1"/>
  <c r="M49" i="1"/>
  <c r="O49" i="1"/>
  <c r="J50" i="1"/>
  <c r="L50" i="1"/>
  <c r="M50" i="1"/>
  <c r="O50" i="1"/>
  <c r="J51" i="1"/>
  <c r="L51" i="1"/>
  <c r="M51" i="1"/>
  <c r="O51" i="1"/>
  <c r="J52" i="1"/>
  <c r="L52" i="1"/>
  <c r="M52" i="1"/>
  <c r="O52" i="1"/>
  <c r="J53" i="1"/>
  <c r="L53" i="1"/>
  <c r="M53" i="1"/>
  <c r="O53" i="1"/>
  <c r="J54" i="1"/>
  <c r="L54" i="1"/>
  <c r="M54" i="1"/>
  <c r="O54" i="1"/>
  <c r="J55" i="1"/>
  <c r="L55" i="1"/>
  <c r="M55" i="1"/>
  <c r="O55" i="1"/>
  <c r="J56" i="1"/>
  <c r="L56" i="1"/>
  <c r="M56" i="1"/>
  <c r="O56" i="1"/>
  <c r="J57" i="1"/>
  <c r="L57" i="1"/>
  <c r="M57" i="1"/>
  <c r="O57" i="1"/>
  <c r="J58" i="1"/>
  <c r="L58" i="1"/>
  <c r="M58" i="1"/>
  <c r="O58" i="1"/>
  <c r="J59" i="1"/>
  <c r="L59" i="1"/>
  <c r="M59" i="1"/>
  <c r="O59" i="1"/>
  <c r="J60" i="1"/>
  <c r="L60" i="1"/>
  <c r="M60" i="1"/>
  <c r="O60" i="1"/>
  <c r="J61" i="1"/>
  <c r="L61" i="1"/>
  <c r="M61" i="1"/>
  <c r="O61" i="1"/>
  <c r="J62" i="1"/>
  <c r="L62" i="1"/>
  <c r="M62" i="1"/>
  <c r="O62" i="1"/>
  <c r="J63" i="1"/>
  <c r="L63" i="1"/>
  <c r="M63" i="1"/>
  <c r="O63" i="1"/>
  <c r="J64" i="1"/>
  <c r="L64" i="1"/>
  <c r="M64" i="1"/>
  <c r="O64" i="1"/>
  <c r="J65" i="1"/>
  <c r="L65" i="1"/>
  <c r="M65" i="1"/>
  <c r="O65" i="1"/>
  <c r="J66" i="1"/>
  <c r="L66" i="1"/>
  <c r="M66" i="1"/>
  <c r="O66" i="1"/>
  <c r="J67" i="1"/>
  <c r="L67" i="1"/>
  <c r="M67" i="1"/>
  <c r="O67" i="1"/>
  <c r="J68" i="1"/>
  <c r="L68" i="1"/>
  <c r="M68" i="1"/>
  <c r="O68" i="1"/>
  <c r="J69" i="1"/>
  <c r="L69" i="1"/>
  <c r="M69" i="1"/>
  <c r="O69" i="1"/>
  <c r="J70" i="1"/>
  <c r="L70" i="1"/>
  <c r="M70" i="1"/>
  <c r="O70" i="1"/>
  <c r="J71" i="1"/>
  <c r="L71" i="1"/>
  <c r="M71" i="1"/>
  <c r="O71" i="1"/>
  <c r="J72" i="1"/>
  <c r="L72" i="1"/>
  <c r="M72" i="1"/>
  <c r="O72" i="1"/>
  <c r="J73" i="1"/>
  <c r="L73" i="1"/>
  <c r="M73" i="1"/>
  <c r="O73" i="1"/>
  <c r="J74" i="1"/>
  <c r="L74" i="1"/>
  <c r="M74" i="1"/>
  <c r="O74" i="1"/>
  <c r="J75" i="1"/>
  <c r="L75" i="1"/>
  <c r="M75" i="1"/>
  <c r="O75" i="1"/>
  <c r="J76" i="1"/>
  <c r="L76" i="1"/>
  <c r="M76" i="1"/>
  <c r="O76" i="1"/>
  <c r="J77" i="1"/>
  <c r="L77" i="1"/>
  <c r="M77" i="1"/>
  <c r="O77" i="1"/>
  <c r="J78" i="1"/>
  <c r="L78" i="1"/>
  <c r="M78" i="1"/>
  <c r="O78" i="1"/>
  <c r="J79" i="1"/>
  <c r="L79" i="1"/>
  <c r="M79" i="1"/>
  <c r="O79" i="1"/>
  <c r="J80" i="1"/>
  <c r="L80" i="1"/>
  <c r="M80" i="1"/>
  <c r="O80" i="1"/>
  <c r="J81" i="1"/>
  <c r="L81" i="1"/>
  <c r="M81" i="1"/>
  <c r="O81" i="1"/>
  <c r="J82" i="1"/>
  <c r="L82" i="1"/>
  <c r="M82" i="1"/>
  <c r="O82" i="1"/>
  <c r="J83" i="1"/>
  <c r="L83" i="1"/>
  <c r="M83" i="1"/>
  <c r="O83" i="1"/>
  <c r="J84" i="1"/>
  <c r="L84" i="1"/>
  <c r="M84" i="1"/>
  <c r="O84" i="1"/>
  <c r="J85" i="1"/>
  <c r="L85" i="1"/>
  <c r="M85" i="1"/>
  <c r="O85" i="1"/>
  <c r="J86" i="1"/>
  <c r="L86" i="1"/>
  <c r="M86" i="1"/>
  <c r="O86" i="1"/>
  <c r="J87" i="1"/>
  <c r="L87" i="1"/>
  <c r="M87" i="1"/>
  <c r="O87" i="1"/>
  <c r="J88" i="1"/>
  <c r="L88" i="1"/>
  <c r="M88" i="1"/>
  <c r="O88" i="1"/>
  <c r="J89" i="1"/>
  <c r="L89" i="1"/>
  <c r="M89" i="1"/>
  <c r="O89" i="1"/>
  <c r="J90" i="1"/>
  <c r="L90" i="1"/>
  <c r="M90" i="1"/>
  <c r="O90" i="1"/>
  <c r="J91" i="1"/>
  <c r="L91" i="1"/>
  <c r="M91" i="1"/>
  <c r="O91" i="1"/>
  <c r="J92" i="1"/>
  <c r="L92" i="1"/>
  <c r="M92" i="1"/>
  <c r="O92" i="1"/>
  <c r="J93" i="1"/>
  <c r="L93" i="1"/>
  <c r="M93" i="1"/>
  <c r="O93" i="1"/>
  <c r="J94" i="1"/>
  <c r="L94" i="1"/>
  <c r="M94" i="1"/>
  <c r="O94" i="1"/>
  <c r="J95" i="1"/>
  <c r="L95" i="1"/>
  <c r="M95" i="1"/>
  <c r="O95" i="1"/>
  <c r="J96" i="1"/>
  <c r="L96" i="1"/>
  <c r="M96" i="1"/>
  <c r="O96" i="1"/>
  <c r="J97" i="1"/>
  <c r="L97" i="1"/>
  <c r="M97" i="1"/>
  <c r="O97" i="1"/>
  <c r="J98" i="1"/>
  <c r="L98" i="1"/>
  <c r="M98" i="1"/>
  <c r="O98" i="1"/>
  <c r="J99" i="1"/>
  <c r="L99" i="1"/>
  <c r="M99" i="1"/>
  <c r="O99" i="1"/>
  <c r="J100" i="1"/>
  <c r="L100" i="1"/>
  <c r="M100" i="1"/>
  <c r="O100" i="1"/>
  <c r="J101" i="1"/>
  <c r="L101" i="1"/>
  <c r="M101" i="1"/>
  <c r="O101" i="1"/>
  <c r="J102" i="1"/>
  <c r="L102" i="1"/>
  <c r="M102" i="1"/>
  <c r="O102" i="1"/>
  <c r="J103" i="1"/>
  <c r="L103" i="1"/>
  <c r="M103" i="1"/>
  <c r="O103" i="1"/>
  <c r="J104" i="1"/>
  <c r="L104" i="1"/>
  <c r="M104" i="1"/>
  <c r="O104" i="1"/>
  <c r="J105" i="1"/>
  <c r="L105" i="1"/>
  <c r="M105" i="1"/>
  <c r="O105" i="1"/>
  <c r="J106" i="1"/>
  <c r="L106" i="1"/>
  <c r="M106" i="1"/>
  <c r="O106" i="1"/>
  <c r="J107" i="1"/>
  <c r="L107" i="1"/>
  <c r="M107" i="1"/>
  <c r="O107" i="1"/>
  <c r="J108" i="1"/>
  <c r="L108" i="1"/>
  <c r="M108" i="1"/>
  <c r="O108" i="1"/>
  <c r="J109" i="1"/>
  <c r="L109" i="1"/>
  <c r="M109" i="1"/>
  <c r="O109" i="1"/>
  <c r="J110" i="1"/>
  <c r="L110" i="1"/>
  <c r="M110" i="1"/>
  <c r="O110" i="1"/>
  <c r="J111" i="1"/>
  <c r="L111" i="1"/>
  <c r="M111" i="1"/>
  <c r="O111" i="1"/>
  <c r="J112" i="1"/>
  <c r="L112" i="1"/>
  <c r="M112" i="1"/>
  <c r="O112" i="1"/>
  <c r="J113" i="1"/>
  <c r="L113" i="1"/>
  <c r="M113" i="1"/>
  <c r="O113" i="1"/>
  <c r="J114" i="1"/>
  <c r="L114" i="1"/>
  <c r="M114" i="1"/>
  <c r="O114" i="1"/>
  <c r="J115" i="1"/>
  <c r="L115" i="1"/>
  <c r="M115" i="1"/>
  <c r="O115" i="1"/>
  <c r="J116" i="1"/>
  <c r="L116" i="1"/>
  <c r="M116" i="1"/>
  <c r="O116" i="1"/>
  <c r="J117" i="1"/>
  <c r="L117" i="1"/>
  <c r="M117" i="1"/>
  <c r="O117" i="1"/>
  <c r="J118" i="1"/>
  <c r="L118" i="1"/>
  <c r="M118" i="1"/>
  <c r="O118" i="1"/>
  <c r="J119" i="1"/>
  <c r="L119" i="1"/>
  <c r="M119" i="1"/>
  <c r="O119" i="1"/>
  <c r="J120" i="1"/>
  <c r="L120" i="1"/>
  <c r="M120" i="1"/>
  <c r="O120" i="1"/>
  <c r="J121" i="1"/>
  <c r="L121" i="1"/>
  <c r="M121" i="1"/>
  <c r="O121" i="1"/>
  <c r="J122" i="1"/>
  <c r="L122" i="1"/>
  <c r="M122" i="1"/>
  <c r="O122" i="1"/>
  <c r="J123" i="1"/>
  <c r="L123" i="1"/>
  <c r="M123" i="1"/>
  <c r="O123" i="1"/>
  <c r="J124" i="1"/>
  <c r="L124" i="1"/>
  <c r="M124" i="1"/>
  <c r="O124" i="1"/>
  <c r="J125" i="1"/>
  <c r="L125" i="1"/>
  <c r="M125" i="1"/>
  <c r="O125" i="1"/>
  <c r="J126" i="1"/>
  <c r="L126" i="1"/>
  <c r="M126" i="1"/>
  <c r="O126" i="1"/>
  <c r="J127" i="1"/>
  <c r="L127" i="1"/>
  <c r="M127" i="1"/>
  <c r="O127" i="1"/>
  <c r="J128" i="1"/>
  <c r="L128" i="1"/>
  <c r="M128" i="1"/>
  <c r="O128" i="1"/>
  <c r="J129" i="1"/>
  <c r="L129" i="1"/>
  <c r="M129" i="1"/>
  <c r="O129" i="1"/>
  <c r="J130" i="1"/>
  <c r="L130" i="1"/>
  <c r="M130" i="1"/>
  <c r="O130" i="1"/>
  <c r="J131" i="1"/>
  <c r="L131" i="1"/>
  <c r="M131" i="1"/>
  <c r="O131" i="1"/>
  <c r="J132" i="1"/>
  <c r="L132" i="1"/>
  <c r="M132" i="1"/>
  <c r="O132" i="1"/>
  <c r="J133" i="1"/>
  <c r="L133" i="1"/>
  <c r="M133" i="1"/>
  <c r="O133" i="1"/>
  <c r="O135" i="1"/>
  <c r="O136" i="1"/>
  <c r="I1" i="2"/>
  <c r="B23" i="2"/>
</calcChain>
</file>

<file path=xl/comments1.xml><?xml version="1.0" encoding="utf-8"?>
<comments xmlns="http://schemas.openxmlformats.org/spreadsheetml/2006/main">
  <authors>
    <author>Mirco</author>
  </authors>
  <commentList>
    <comment ref="I1" authorId="0">
      <text>
        <r>
          <rPr>
            <sz val="10"/>
            <color indexed="81"/>
            <rFont val="Tahoma"/>
            <family val="2"/>
          </rPr>
          <t>Se al termine delle 10000 iterazioni la simulazione non è ancora finita, fare doppio click su una casella qualsiasi e dare "INVIO" in modo da far fare altre 10000 iterazioni, oppure premere il tasto "F9"…Continuare così fin chè appare la scritta "SI"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sz val="11"/>
            <color indexed="81"/>
            <rFont val="Tahoma"/>
            <family val="2"/>
          </rPr>
          <t>Il programmino per funzionare ha bisogno che sia attiva la modalità "iterazioni". Per fare cio andare sulla barra dei comandi in alto a sx e cliccare sulla casella con la freccietta che punta verso il basso. Qui si aprirà un menù a tendina. Cliccare su "altri comandi", "formule" e quindi spulciare sulla casella "attiva calcolo iterativo" e inserire 10000 su "numero massimo", quindi dare "OK".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>
      <text>
        <r>
          <rPr>
            <sz val="11"/>
            <color indexed="81"/>
            <rFont val="Tahoma"/>
            <family val="2"/>
          </rPr>
          <t>Inserire lo spessore del blank di vetro in [mm].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>
      <text>
        <r>
          <rPr>
            <sz val="11"/>
            <color indexed="81"/>
            <rFont val="Tahoma"/>
            <family val="2"/>
          </rPr>
          <t>Inserire il diametro del blank di vetro in [mm].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>
      <text>
        <r>
          <rPr>
            <sz val="11"/>
            <color indexed="81"/>
            <rFont val="Tahoma"/>
            <family val="2"/>
          </rPr>
          <t>Scegliere il tipo di vetro dal menù a tendina.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>
      <text>
        <r>
          <rPr>
            <sz val="11"/>
            <color indexed="81"/>
            <rFont val="Tahoma"/>
            <family val="2"/>
          </rPr>
          <t>Emissività del materiale sulla faccia superiore (solitamente alluminio lucido = 0,06). Con questo parametro si gestisce la quantità di calore scambiato per irraggiamento. Non è semplice predire questo processo perché dipende da un "fattore di vista" che varia in funzione del tipo di telescopio (più alto per dobson con box del primario basso e aperto, più basso più il telescopio è chiuso o intubato). Per tenere conto di questo abbassare evventualmente il valore dell'emissività (anche se non è corretto dire che il valore dell'emissività del materiale si abbassa, ma in questo foglio di calcolo con questo unico parametro si tiene conto di entrambi i fattori).
In prima approssimazione, si puo ritenere anche nullo questo valore, senza penalizzare i risultati dell'analisi.</t>
        </r>
      </text>
    </comment>
    <comment ref="B12" authorId="0">
      <text>
        <r>
          <rPr>
            <sz val="11"/>
            <color indexed="81"/>
            <rFont val="Tahoma"/>
            <family val="2"/>
          </rPr>
          <t>Caolore specifico dell'aria in [J/KgK].</t>
        </r>
      </text>
    </comment>
    <comment ref="B13" authorId="0">
      <text>
        <r>
          <rPr>
            <sz val="11"/>
            <color indexed="81"/>
            <rFont val="Tahoma"/>
            <family val="2"/>
          </rPr>
          <t>Pressione atmosferica [Bar]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sz val="11"/>
            <color indexed="81"/>
            <rFont val="Tahoma"/>
            <family val="2"/>
          </rPr>
          <t>Inserire 0 se si desideara impostare manualmente la temperatura iniziale e finale della simulazione (T aria in - T aria fin).
Inserire 1 se si desidera che le temperature di inizio e fine simulazione vengano calcolate in automatico. Questa modalità calcola le temperature in base all' orario a cui si mette il telescopio all'aperto ("Orario inizio") e all'evoluzione di temperatura che una giornata media presenta (Inserire allora la T max giornaliera e la T min giornaliera per generare questo profilo di temperature, che viene riportato nel grafico sotto a quello a fianco).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" authorId="0">
      <text>
        <r>
          <rPr>
            <sz val="11"/>
            <color indexed="81"/>
            <rFont val="Tahoma"/>
            <family val="2"/>
          </rPr>
          <t>Temperatura iniziale dello specchio in [°C]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sz val="11"/>
            <color indexed="81"/>
            <rFont val="Tahoma"/>
            <family val="2"/>
          </rPr>
          <t>Temperatura iniziale dell' aria in [°C</t>
        </r>
        <r>
          <rPr>
            <sz val="9"/>
            <color indexed="81"/>
            <rFont val="Tahoma"/>
            <family val="2"/>
          </rPr>
          <t>]</t>
        </r>
        <r>
          <rPr>
            <sz val="11"/>
            <color indexed="81"/>
            <rFont val="Tahoma"/>
            <family val="2"/>
          </rPr>
          <t>, oppure la temperatura massima giornaliera in [°C]</t>
        </r>
      </text>
    </comment>
    <comment ref="B18" authorId="0">
      <text>
        <r>
          <rPr>
            <sz val="11"/>
            <color indexed="81"/>
            <rFont val="Tahoma"/>
            <family val="2"/>
          </rPr>
          <t>Temperatura finale dell' aria in [°C], oppure la temperatura minima giornaliera in [°C]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sz val="11"/>
            <color indexed="81"/>
            <rFont val="Tahoma"/>
            <family val="2"/>
          </rPr>
          <t>Orario a cui si posiziona all'aperto il telescopio. Serve solamente se si desidera utilizzare la modalità in cui le temperature di inizio e fine simulazione vengano calcolate in automatico.</t>
        </r>
      </text>
    </comment>
    <comment ref="B22" authorId="0">
      <text>
        <r>
          <rPr>
            <sz val="11"/>
            <color indexed="81"/>
            <rFont val="Tahoma"/>
            <family val="2"/>
          </rPr>
          <t>Differenza di temperatura tra aria e scpecchio, per cui ci si ritiene soddisfatti dell'equilibrio termico che lo specchio ha raggiunto con l'ambiente.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>
      <text>
        <r>
          <rPr>
            <sz val="11"/>
            <color indexed="81"/>
            <rFont val="Tahoma"/>
            <family val="2"/>
          </rPr>
          <t>Tempo necessario dal momento in cui si è posizionato il telescopio all'aperto, perché questo arrivi ad avere una differenza di temperatura con l'ambiente pari o inferiore al "Delta Temper. Desid"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sz val="11"/>
            <color indexed="81"/>
            <rFont val="Tahoma"/>
            <family val="2"/>
          </rPr>
          <t>Inserire il tempo di durata della simulazione in [min].</t>
        </r>
      </text>
    </comment>
    <comment ref="A28" authorId="0">
      <text>
        <r>
          <rPr>
            <sz val="11"/>
            <color indexed="81"/>
            <rFont val="Tahoma"/>
            <family val="2"/>
          </rPr>
          <t>Scegliere il tipo di ventola dal menù a tendina.
Si intende una ventola che soffia contro la superficie inferiore dello specchio.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sz val="11"/>
            <color indexed="81"/>
            <rFont val="Tahoma"/>
            <family val="2"/>
          </rPr>
          <t>Inserire 1 se è presente la ventola (ventola ON).
Inserire 0 se convezione naturale o ventola spenta (ventola OFF).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34" authorId="0">
      <text>
        <r>
          <rPr>
            <sz val="11"/>
            <color indexed="81"/>
            <rFont val="Tahoma"/>
            <family val="2"/>
          </rPr>
          <t>Inserire 0 per resettare la simulazione.
Inserire 1 per avviarla.
Ogni qualvolta si cambia un parametro, bisogna prima ri-resettare la simulazione inserendo lo 0 e poi ri-inserire 1 per riavviarla.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<sst xmlns="http://schemas.openxmlformats.org/spreadsheetml/2006/main" count="135" uniqueCount="90">
  <si>
    <t>lambda vetro</t>
  </si>
  <si>
    <t>C vetro</t>
  </si>
  <si>
    <t>ro vetro</t>
  </si>
  <si>
    <t>Spessore vetro</t>
  </si>
  <si>
    <t>Diametro vetro</t>
  </si>
  <si>
    <t>Ti</t>
  </si>
  <si>
    <t>C aria</t>
  </si>
  <si>
    <t>mm</t>
  </si>
  <si>
    <t>°C</t>
  </si>
  <si>
    <t>Kg/m3</t>
  </si>
  <si>
    <t>w/mK</t>
  </si>
  <si>
    <t>J/KgK</t>
  </si>
  <si>
    <t>Ti'</t>
  </si>
  <si>
    <t>Fo</t>
  </si>
  <si>
    <t>tm</t>
  </si>
  <si>
    <t>atm</t>
  </si>
  <si>
    <t>ro aria</t>
  </si>
  <si>
    <t>press atm</t>
  </si>
  <si>
    <t>lambda aria</t>
  </si>
  <si>
    <t>visc aria</t>
  </si>
  <si>
    <t>beta</t>
  </si>
  <si>
    <t>1/K</t>
  </si>
  <si>
    <t>Ra</t>
  </si>
  <si>
    <t>Nu</t>
  </si>
  <si>
    <t>alfa conv</t>
  </si>
  <si>
    <t>w/m2K</t>
  </si>
  <si>
    <t>Bi</t>
  </si>
  <si>
    <t>Fo 2</t>
  </si>
  <si>
    <t>w/mk</t>
  </si>
  <si>
    <t>lamda aria</t>
  </si>
  <si>
    <t>F</t>
  </si>
  <si>
    <t>E</t>
  </si>
  <si>
    <t>reset</t>
  </si>
  <si>
    <t>min</t>
  </si>
  <si>
    <t>n° iterazioni</t>
  </si>
  <si>
    <t>Tempo simul</t>
  </si>
  <si>
    <t>x</t>
  </si>
  <si>
    <t>y</t>
  </si>
  <si>
    <t>T aria in</t>
  </si>
  <si>
    <t>T aria fin</t>
  </si>
  <si>
    <t>Taria</t>
  </si>
  <si>
    <t>emissività</t>
  </si>
  <si>
    <t>Geometria</t>
  </si>
  <si>
    <t>Caratteristiche Generali</t>
  </si>
  <si>
    <t>Press atm</t>
  </si>
  <si>
    <t>T in specchio</t>
  </si>
  <si>
    <t>Tempo simulazione</t>
  </si>
  <si>
    <t xml:space="preserve">RERET </t>
  </si>
  <si>
    <t>Simulazione finita ?</t>
  </si>
  <si>
    <t>Dimensioni ventola</t>
  </si>
  <si>
    <t>Lato</t>
  </si>
  <si>
    <t>Speesore</t>
  </si>
  <si>
    <t>Ventola ?</t>
  </si>
  <si>
    <t>V. Fluid forz.</t>
  </si>
  <si>
    <t>Tempo simul.</t>
  </si>
  <si>
    <t>Vetro</t>
  </si>
  <si>
    <t>Float (finestre)</t>
  </si>
  <si>
    <t>Pyrex 7740</t>
  </si>
  <si>
    <t>BK7</t>
  </si>
  <si>
    <t>Fused Silica</t>
  </si>
  <si>
    <t>Zerodur</t>
  </si>
  <si>
    <t>Lambda</t>
  </si>
  <si>
    <t>C</t>
  </si>
  <si>
    <t>Ro</t>
  </si>
  <si>
    <t>Ventole</t>
  </si>
  <si>
    <t>25x25x10</t>
  </si>
  <si>
    <t>40x40x10</t>
  </si>
  <si>
    <t>40x40x25</t>
  </si>
  <si>
    <t>40x40x15</t>
  </si>
  <si>
    <t>50x50x10</t>
  </si>
  <si>
    <t>50x50x20</t>
  </si>
  <si>
    <t>60x60x10</t>
  </si>
  <si>
    <t>60x60x15</t>
  </si>
  <si>
    <t>60x60x25</t>
  </si>
  <si>
    <t>60x60x38</t>
  </si>
  <si>
    <t>80x80x15</t>
  </si>
  <si>
    <t>80x80x25</t>
  </si>
  <si>
    <t>80x80x38</t>
  </si>
  <si>
    <t>120x120x20</t>
  </si>
  <si>
    <t>120x120x38</t>
  </si>
  <si>
    <t>bar</t>
  </si>
  <si>
    <t>N:B:</t>
  </si>
  <si>
    <t>Leggere i vari commenti nelle caselle</t>
  </si>
  <si>
    <t>T aria in / Tmax</t>
  </si>
  <si>
    <t>T aria fin / T min</t>
  </si>
  <si>
    <t>Orario inizio</t>
  </si>
  <si>
    <t>Orario</t>
  </si>
  <si>
    <t>Tipo variaz. Temp.</t>
  </si>
  <si>
    <t>Delta Temper. Desid</t>
  </si>
  <si>
    <t>A Temperat. Dopo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</si>
</sst>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0.0000"/>
    <numFmt numFmtId="166" formatCode="0.000"/>
    <numFmt numFmtId="167" formatCode="0.0"/>
    <numFmt numFmtId="168" formatCode="0.000E+00"/>
    <numFmt numFmtId="169" formatCode="0.000000"/>
    <numFmt numFmtId="171" formatCode="h:mm;@"/>
  </numFmts>
  <fonts count="12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4"/>
      <name val="Arial"/>
      <family val="2"/>
    </font>
    <font>
      <sz val="9"/>
      <color indexed="81"/>
      <name val="Tahoma"/>
      <charset val="1"/>
    </font>
    <font>
      <sz val="11"/>
      <color indexed="81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167" fontId="0" fillId="0" borderId="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/>
    <xf numFmtId="0" fontId="0" fillId="0" borderId="23" xfId="0" applyBorder="1"/>
    <xf numFmtId="0" fontId="2" fillId="0" borderId="0" xfId="0" applyFont="1"/>
    <xf numFmtId="0" fontId="2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9" fontId="0" fillId="0" borderId="0" xfId="0" applyNumberFormat="1"/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/>
    <xf numFmtId="0" fontId="0" fillId="0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/>
    <xf numFmtId="171" fontId="2" fillId="2" borderId="11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/>
    </xf>
    <xf numFmtId="0" fontId="2" fillId="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</cellXfs>
  <cellStyles count="1">
    <cellStyle name="Normale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70614210413783E-2"/>
          <c:y val="2.8733228998549094E-2"/>
          <c:w val="0.89940797689545005"/>
          <c:h val="0.89388612780224064"/>
        </c:manualLayout>
      </c:layout>
      <c:scatterChart>
        <c:scatterStyle val="smoothMarker"/>
        <c:varyColors val="0"/>
        <c:ser>
          <c:idx val="0"/>
          <c:order val="0"/>
          <c:tx>
            <c:v>T. sup. superiore</c:v>
          </c:tx>
          <c:marker>
            <c:symbol val="none"/>
          </c:marker>
          <c:xVal>
            <c:numRef>
              <c:f>Foglio1!$H$33:$H$133</c:f>
              <c:numCache>
                <c:formatCode>0.00</c:formatCode>
                <c:ptCount val="101"/>
                <c:pt idx="0">
                  <c:v>3.6429036458333335E-2</c:v>
                </c:pt>
                <c:pt idx="1">
                  <c:v>1.5664485677083333</c:v>
                </c:pt>
                <c:pt idx="2">
                  <c:v>3.0600390624999996</c:v>
                </c:pt>
                <c:pt idx="3">
                  <c:v>4.553629557291667</c:v>
                </c:pt>
                <c:pt idx="4">
                  <c:v>6.0472200520833326</c:v>
                </c:pt>
                <c:pt idx="5">
                  <c:v>7.5408105468749991</c:v>
                </c:pt>
                <c:pt idx="6">
                  <c:v>9.0344010416666638</c:v>
                </c:pt>
                <c:pt idx="7">
                  <c:v>10.564420572916665</c:v>
                </c:pt>
                <c:pt idx="8">
                  <c:v>12.058011067708332</c:v>
                </c:pt>
                <c:pt idx="9">
                  <c:v>13.551601562499998</c:v>
                </c:pt>
                <c:pt idx="10">
                  <c:v>15.045192057291667</c:v>
                </c:pt>
                <c:pt idx="11">
                  <c:v>16.53878255208333</c:v>
                </c:pt>
                <c:pt idx="12">
                  <c:v>18.032373046874998</c:v>
                </c:pt>
                <c:pt idx="13">
                  <c:v>19.562392578124996</c:v>
                </c:pt>
                <c:pt idx="14">
                  <c:v>21.055983072916668</c:v>
                </c:pt>
                <c:pt idx="15">
                  <c:v>22.549573567708332</c:v>
                </c:pt>
                <c:pt idx="16">
                  <c:v>24.043164062500001</c:v>
                </c:pt>
                <c:pt idx="17">
                  <c:v>25.536754557291665</c:v>
                </c:pt>
                <c:pt idx="18">
                  <c:v>27.030345052083334</c:v>
                </c:pt>
                <c:pt idx="19">
                  <c:v>28.560364583333328</c:v>
                </c:pt>
                <c:pt idx="20">
                  <c:v>30.053955078124996</c:v>
                </c:pt>
                <c:pt idx="21">
                  <c:v>31.547545572916668</c:v>
                </c:pt>
                <c:pt idx="22">
                  <c:v>33.041136067708322</c:v>
                </c:pt>
                <c:pt idx="23">
                  <c:v>34.534726562499991</c:v>
                </c:pt>
                <c:pt idx="24">
                  <c:v>36.028317057291659</c:v>
                </c:pt>
                <c:pt idx="25">
                  <c:v>37.558336588541664</c:v>
                </c:pt>
                <c:pt idx="26">
                  <c:v>39.051927083333325</c:v>
                </c:pt>
                <c:pt idx="27">
                  <c:v>40.545517578125001</c:v>
                </c:pt>
                <c:pt idx="28">
                  <c:v>42.039108072916669</c:v>
                </c:pt>
                <c:pt idx="29">
                  <c:v>43.53269856770833</c:v>
                </c:pt>
                <c:pt idx="30">
                  <c:v>45.026289062499998</c:v>
                </c:pt>
                <c:pt idx="31">
                  <c:v>46.556308593749989</c:v>
                </c:pt>
                <c:pt idx="32">
                  <c:v>48.049899088541657</c:v>
                </c:pt>
                <c:pt idx="33">
                  <c:v>49.543489583333333</c:v>
                </c:pt>
                <c:pt idx="34">
                  <c:v>51.037080078125001</c:v>
                </c:pt>
                <c:pt idx="35">
                  <c:v>52.530670572916669</c:v>
                </c:pt>
                <c:pt idx="36">
                  <c:v>54.024261067708323</c:v>
                </c:pt>
                <c:pt idx="37">
                  <c:v>55.554280598958329</c:v>
                </c:pt>
                <c:pt idx="38">
                  <c:v>57.04787109374999</c:v>
                </c:pt>
                <c:pt idx="39">
                  <c:v>58.541461588541651</c:v>
                </c:pt>
                <c:pt idx="40">
                  <c:v>60.035052083333319</c:v>
                </c:pt>
                <c:pt idx="41">
                  <c:v>61.528642578124995</c:v>
                </c:pt>
                <c:pt idx="42">
                  <c:v>63.022233072916656</c:v>
                </c:pt>
                <c:pt idx="43">
                  <c:v>64.552252604166668</c:v>
                </c:pt>
                <c:pt idx="44">
                  <c:v>66.045843098958315</c:v>
                </c:pt>
                <c:pt idx="45">
                  <c:v>67.53943359374999</c:v>
                </c:pt>
                <c:pt idx="46">
                  <c:v>69.033024088541666</c:v>
                </c:pt>
                <c:pt idx="47">
                  <c:v>70.526614583333327</c:v>
                </c:pt>
                <c:pt idx="48">
                  <c:v>72.020205078125002</c:v>
                </c:pt>
                <c:pt idx="49">
                  <c:v>73.550224609374993</c:v>
                </c:pt>
                <c:pt idx="50">
                  <c:v>75.043815104166669</c:v>
                </c:pt>
                <c:pt idx="51">
                  <c:v>76.53740559895833</c:v>
                </c:pt>
                <c:pt idx="52">
                  <c:v>78.030996093750005</c:v>
                </c:pt>
                <c:pt idx="53">
                  <c:v>79.524586588541666</c:v>
                </c:pt>
                <c:pt idx="54">
                  <c:v>81.018177083333327</c:v>
                </c:pt>
                <c:pt idx="55">
                  <c:v>82.548196614583318</c:v>
                </c:pt>
                <c:pt idx="56">
                  <c:v>84.041787109374994</c:v>
                </c:pt>
                <c:pt idx="57">
                  <c:v>85.535377604166655</c:v>
                </c:pt>
                <c:pt idx="58">
                  <c:v>87.028968098958316</c:v>
                </c:pt>
                <c:pt idx="59">
                  <c:v>88.522558593749977</c:v>
                </c:pt>
                <c:pt idx="60">
                  <c:v>90.016149088541653</c:v>
                </c:pt>
                <c:pt idx="61">
                  <c:v>91.546168619791644</c:v>
                </c:pt>
                <c:pt idx="62">
                  <c:v>93.039759114583333</c:v>
                </c:pt>
                <c:pt idx="63">
                  <c:v>94.533349609374994</c:v>
                </c:pt>
                <c:pt idx="64">
                  <c:v>96.026940104166655</c:v>
                </c:pt>
                <c:pt idx="65">
                  <c:v>97.520530598958331</c:v>
                </c:pt>
                <c:pt idx="66">
                  <c:v>99.014121093750006</c:v>
                </c:pt>
                <c:pt idx="67">
                  <c:v>100.54414062499998</c:v>
                </c:pt>
                <c:pt idx="68">
                  <c:v>102.03773111979164</c:v>
                </c:pt>
                <c:pt idx="69">
                  <c:v>103.53132161458333</c:v>
                </c:pt>
                <c:pt idx="70">
                  <c:v>105.02491210937498</c:v>
                </c:pt>
                <c:pt idx="71">
                  <c:v>106.51850260416667</c:v>
                </c:pt>
                <c:pt idx="72">
                  <c:v>108.01209309895833</c:v>
                </c:pt>
                <c:pt idx="73">
                  <c:v>109.54211263020834</c:v>
                </c:pt>
                <c:pt idx="74">
                  <c:v>111.03570312499998</c:v>
                </c:pt>
                <c:pt idx="75">
                  <c:v>112.52929361979163</c:v>
                </c:pt>
                <c:pt idx="76">
                  <c:v>114.02288411458332</c:v>
                </c:pt>
                <c:pt idx="77">
                  <c:v>115.51647460937497</c:v>
                </c:pt>
                <c:pt idx="78">
                  <c:v>117.01006510416666</c:v>
                </c:pt>
                <c:pt idx="79">
                  <c:v>118.54008463541663</c:v>
                </c:pt>
                <c:pt idx="80">
                  <c:v>120.03367513020832</c:v>
                </c:pt>
                <c:pt idx="81">
                  <c:v>121.52726562499998</c:v>
                </c:pt>
                <c:pt idx="82">
                  <c:v>123.02085611979165</c:v>
                </c:pt>
                <c:pt idx="83">
                  <c:v>124.51444661458331</c:v>
                </c:pt>
                <c:pt idx="84">
                  <c:v>126.008037109375</c:v>
                </c:pt>
                <c:pt idx="85">
                  <c:v>127.53805664062497</c:v>
                </c:pt>
                <c:pt idx="86">
                  <c:v>129.03164713541665</c:v>
                </c:pt>
                <c:pt idx="87">
                  <c:v>130.5252376302083</c:v>
                </c:pt>
                <c:pt idx="88">
                  <c:v>132.018828125</c:v>
                </c:pt>
                <c:pt idx="89">
                  <c:v>133.51241861979165</c:v>
                </c:pt>
                <c:pt idx="90">
                  <c:v>135.00600911458329</c:v>
                </c:pt>
                <c:pt idx="91">
                  <c:v>136.53602864583331</c:v>
                </c:pt>
                <c:pt idx="92">
                  <c:v>138.02961914062502</c:v>
                </c:pt>
                <c:pt idx="93">
                  <c:v>139.52320963541666</c:v>
                </c:pt>
                <c:pt idx="94">
                  <c:v>141.01680013020831</c:v>
                </c:pt>
                <c:pt idx="95">
                  <c:v>142.51039062499999</c:v>
                </c:pt>
                <c:pt idx="96">
                  <c:v>144.00398111979166</c:v>
                </c:pt>
                <c:pt idx="97">
                  <c:v>145.53400065104168</c:v>
                </c:pt>
                <c:pt idx="98">
                  <c:v>147.02759114583333</c:v>
                </c:pt>
                <c:pt idx="99">
                  <c:v>148.521181640625</c:v>
                </c:pt>
                <c:pt idx="100">
                  <c:v>149.94191406249999</c:v>
                </c:pt>
              </c:numCache>
            </c:numRef>
          </c:xVal>
          <c:yVal>
            <c:numRef>
              <c:f>Foglio1!$J$33:$J$133</c:f>
              <c:numCache>
                <c:formatCode>General</c:formatCode>
                <c:ptCount val="101"/>
                <c:pt idx="0">
                  <c:v>15.001706633087187</c:v>
                </c:pt>
                <c:pt idx="1">
                  <c:v>14.458921768463535</c:v>
                </c:pt>
                <c:pt idx="2">
                  <c:v>14.124831348909613</c:v>
                </c:pt>
                <c:pt idx="3">
                  <c:v>13.803839054170687</c:v>
                </c:pt>
                <c:pt idx="4">
                  <c:v>13.495486150783211</c:v>
                </c:pt>
                <c:pt idx="5">
                  <c:v>13.199735406422317</c:v>
                </c:pt>
                <c:pt idx="6">
                  <c:v>12.916136424352469</c:v>
                </c:pt>
                <c:pt idx="7">
                  <c:v>12.637633998414067</c:v>
                </c:pt>
                <c:pt idx="8">
                  <c:v>12.376907907779065</c:v>
                </c:pt>
                <c:pt idx="9">
                  <c:v>12.126638168075376</c:v>
                </c:pt>
                <c:pt idx="10">
                  <c:v>11.886302780485376</c:v>
                </c:pt>
                <c:pt idx="11">
                  <c:v>11.655408807374078</c:v>
                </c:pt>
                <c:pt idx="12">
                  <c:v>11.433491362987256</c:v>
                </c:pt>
                <c:pt idx="13">
                  <c:v>11.215010826243565</c:v>
                </c:pt>
                <c:pt idx="14">
                  <c:v>11.009949391950219</c:v>
                </c:pt>
                <c:pt idx="15">
                  <c:v>10.812613208901741</c:v>
                </c:pt>
                <c:pt idx="16">
                  <c:v>10.622634462724317</c:v>
                </c:pt>
                <c:pt idx="17">
                  <c:v>10.439665772173779</c:v>
                </c:pt>
                <c:pt idx="18">
                  <c:v>10.263378908580039</c:v>
                </c:pt>
                <c:pt idx="19">
                  <c:v>10.089396418323409</c:v>
                </c:pt>
                <c:pt idx="20">
                  <c:v>9.9257039718615125</c:v>
                </c:pt>
                <c:pt idx="21">
                  <c:v>9.7678054842354172</c:v>
                </c:pt>
                <c:pt idx="22">
                  <c:v>9.6154385585542617</c:v>
                </c:pt>
                <c:pt idx="23">
                  <c:v>9.4683547317018526</c:v>
                </c:pt>
                <c:pt idx="24">
                  <c:v>9.3263186377737188</c:v>
                </c:pt>
                <c:pt idx="25">
                  <c:v>9.1858190746347415</c:v>
                </c:pt>
                <c:pt idx="26">
                  <c:v>9.0533308547291895</c:v>
                </c:pt>
                <c:pt idx="27">
                  <c:v>8.9252505396178865</c:v>
                </c:pt>
                <c:pt idx="28">
                  <c:v>8.8013880861020919</c:v>
                </c:pt>
                <c:pt idx="29">
                  <c:v>8.6815631113738636</c:v>
                </c:pt>
                <c:pt idx="30">
                  <c:v>8.5656043370061283</c:v>
                </c:pt>
                <c:pt idx="31">
                  <c:v>8.4506560821242243</c:v>
                </c:pt>
                <c:pt idx="32">
                  <c:v>8.3420344144430114</c:v>
                </c:pt>
                <c:pt idx="33">
                  <c:v>8.2368112045474362</c:v>
                </c:pt>
                <c:pt idx="34">
                  <c:v>8.1348468776916949</c:v>
                </c:pt>
                <c:pt idx="35">
                  <c:v>8.0360086606307419</c:v>
                </c:pt>
                <c:pt idx="36">
                  <c:v>7.9401702058233807</c:v>
                </c:pt>
                <c:pt idx="37">
                  <c:v>7.8449789421404796</c:v>
                </c:pt>
                <c:pt idx="38">
                  <c:v>7.7548509836940633</c:v>
                </c:pt>
                <c:pt idx="39">
                  <c:v>7.6673762829172416</c:v>
                </c:pt>
                <c:pt idx="40">
                  <c:v>7.5824509984791533</c:v>
                </c:pt>
                <c:pt idx="41">
                  <c:v>7.4999761464103027</c:v>
                </c:pt>
                <c:pt idx="42">
                  <c:v>7.4198573421025129</c:v>
                </c:pt>
                <c:pt idx="43">
                  <c:v>7.3139250637165043</c:v>
                </c:pt>
                <c:pt idx="44">
                  <c:v>7.224982367182438</c:v>
                </c:pt>
                <c:pt idx="45">
                  <c:v>7.1391998875291707</c:v>
                </c:pt>
                <c:pt idx="46">
                  <c:v>7.0563239214181221</c:v>
                </c:pt>
                <c:pt idx="47">
                  <c:v>6.9762161063471897</c:v>
                </c:pt>
                <c:pt idx="48">
                  <c:v>6.8987506397498839</c:v>
                </c:pt>
                <c:pt idx="49">
                  <c:v>6.8220124950794716</c:v>
                </c:pt>
                <c:pt idx="50">
                  <c:v>6.7495425487996794</c:v>
                </c:pt>
                <c:pt idx="51">
                  <c:v>6.6793784006463897</c:v>
                </c:pt>
                <c:pt idx="52">
                  <c:v>6.6114205809238467</c:v>
                </c:pt>
                <c:pt idx="53">
                  <c:v>6.5455747949023424</c:v>
                </c:pt>
                <c:pt idx="54">
                  <c:v>6.481751608217702</c:v>
                </c:pt>
                <c:pt idx="55">
                  <c:v>6.4183802772747294</c:v>
                </c:pt>
                <c:pt idx="56">
                  <c:v>6.3583963333869464</c:v>
                </c:pt>
                <c:pt idx="57">
                  <c:v>6.3001912508647058</c:v>
                </c:pt>
                <c:pt idx="58">
                  <c:v>6.2436924411199408</c:v>
                </c:pt>
                <c:pt idx="59">
                  <c:v>6.1888309148825469</c:v>
                </c:pt>
                <c:pt idx="60">
                  <c:v>6.1355410783810509</c:v>
                </c:pt>
                <c:pt idx="61">
                  <c:v>6.0825159511103717</c:v>
                </c:pt>
                <c:pt idx="62">
                  <c:v>6.0322199992631305</c:v>
                </c:pt>
                <c:pt idx="63">
                  <c:v>5.9833161348650075</c:v>
                </c:pt>
                <c:pt idx="64">
                  <c:v>5.9357506166738121</c:v>
                </c:pt>
                <c:pt idx="65">
                  <c:v>5.8894722527223182</c:v>
                </c:pt>
                <c:pt idx="66">
                  <c:v>5.8444322618401712</c:v>
                </c:pt>
                <c:pt idx="67">
                  <c:v>5.799529188726317</c:v>
                </c:pt>
                <c:pt idx="68">
                  <c:v>5.7568560531514965</c:v>
                </c:pt>
                <c:pt idx="69">
                  <c:v>5.7152871426942164</c:v>
                </c:pt>
                <c:pt idx="70">
                  <c:v>5.6747821402482428</c:v>
                </c:pt>
                <c:pt idx="71">
                  <c:v>5.63530256001025</c:v>
                </c:pt>
                <c:pt idx="72">
                  <c:v>5.5968116518599587</c:v>
                </c:pt>
                <c:pt idx="73">
                  <c:v>5.5583703930416579</c:v>
                </c:pt>
                <c:pt idx="74">
                  <c:v>5.5217751095894645</c:v>
                </c:pt>
                <c:pt idx="75">
                  <c:v>5.486067022987358</c:v>
                </c:pt>
                <c:pt idx="76">
                  <c:v>5.4512155091468513</c:v>
                </c:pt>
                <c:pt idx="77">
                  <c:v>5.4171912765893824</c:v>
                </c:pt>
                <c:pt idx="78">
                  <c:v>5.3839662994238333</c:v>
                </c:pt>
                <c:pt idx="79">
                  <c:v>5.3507316594666969</c:v>
                </c:pt>
                <c:pt idx="80">
                  <c:v>5.3190437668098323</c:v>
                </c:pt>
                <c:pt idx="81">
                  <c:v>5.2880774433097448</c:v>
                </c:pt>
                <c:pt idx="82">
                  <c:v>5.257809151393225</c:v>
                </c:pt>
                <c:pt idx="83">
                  <c:v>5.228216334624058</c:v>
                </c:pt>
                <c:pt idx="84">
                  <c:v>5.1992773700660013</c:v>
                </c:pt>
                <c:pt idx="85">
                  <c:v>5.1702888766188195</c:v>
                </c:pt>
                <c:pt idx="86">
                  <c:v>5.1426109739499788</c:v>
                </c:pt>
                <c:pt idx="87">
                  <c:v>5.1155267611941646</c:v>
                </c:pt>
                <c:pt idx="88">
                  <c:v>5.0890179403921003</c:v>
                </c:pt>
                <c:pt idx="89">
                  <c:v>5.0630669436219762</c:v>
                </c:pt>
                <c:pt idx="90">
                  <c:v>5.0376568986981702</c:v>
                </c:pt>
                <c:pt idx="91">
                  <c:v>5.0121710608754961</c:v>
                </c:pt>
                <c:pt idx="92">
                  <c:v>4.9878071543502953</c:v>
                </c:pt>
                <c:pt idx="93">
                  <c:v>4.9639370827160896</c:v>
                </c:pt>
                <c:pt idx="94">
                  <c:v>4.9405464615371804</c:v>
                </c:pt>
                <c:pt idx="95">
                  <c:v>4.9176214547390709</c:v>
                </c:pt>
                <c:pt idx="96">
                  <c:v>4.8951487496083361</c:v>
                </c:pt>
                <c:pt idx="97">
                  <c:v>4.8725835229118877</c:v>
                </c:pt>
                <c:pt idx="98">
                  <c:v>4.850987726991514</c:v>
                </c:pt>
                <c:pt idx="99">
                  <c:v>4.829806918883417</c:v>
                </c:pt>
                <c:pt idx="100">
                  <c:v>4.8100339936140539</c:v>
                </c:pt>
              </c:numCache>
            </c:numRef>
          </c:yVal>
          <c:smooth val="1"/>
        </c:ser>
        <c:ser>
          <c:idx val="2"/>
          <c:order val="1"/>
          <c:tx>
            <c:v>T. centro</c:v>
          </c:tx>
          <c:marker>
            <c:symbol val="none"/>
          </c:marker>
          <c:xVal>
            <c:numRef>
              <c:f>Foglio1!$H$33:$H$133</c:f>
              <c:numCache>
                <c:formatCode>0.00</c:formatCode>
                <c:ptCount val="101"/>
                <c:pt idx="0">
                  <c:v>3.6429036458333335E-2</c:v>
                </c:pt>
                <c:pt idx="1">
                  <c:v>1.5664485677083333</c:v>
                </c:pt>
                <c:pt idx="2">
                  <c:v>3.0600390624999996</c:v>
                </c:pt>
                <c:pt idx="3">
                  <c:v>4.553629557291667</c:v>
                </c:pt>
                <c:pt idx="4">
                  <c:v>6.0472200520833326</c:v>
                </c:pt>
                <c:pt idx="5">
                  <c:v>7.5408105468749991</c:v>
                </c:pt>
                <c:pt idx="6">
                  <c:v>9.0344010416666638</c:v>
                </c:pt>
                <c:pt idx="7">
                  <c:v>10.564420572916665</c:v>
                </c:pt>
                <c:pt idx="8">
                  <c:v>12.058011067708332</c:v>
                </c:pt>
                <c:pt idx="9">
                  <c:v>13.551601562499998</c:v>
                </c:pt>
                <c:pt idx="10">
                  <c:v>15.045192057291667</c:v>
                </c:pt>
                <c:pt idx="11">
                  <c:v>16.53878255208333</c:v>
                </c:pt>
                <c:pt idx="12">
                  <c:v>18.032373046874998</c:v>
                </c:pt>
                <c:pt idx="13">
                  <c:v>19.562392578124996</c:v>
                </c:pt>
                <c:pt idx="14">
                  <c:v>21.055983072916668</c:v>
                </c:pt>
                <c:pt idx="15">
                  <c:v>22.549573567708332</c:v>
                </c:pt>
                <c:pt idx="16">
                  <c:v>24.043164062500001</c:v>
                </c:pt>
                <c:pt idx="17">
                  <c:v>25.536754557291665</c:v>
                </c:pt>
                <c:pt idx="18">
                  <c:v>27.030345052083334</c:v>
                </c:pt>
                <c:pt idx="19">
                  <c:v>28.560364583333328</c:v>
                </c:pt>
                <c:pt idx="20">
                  <c:v>30.053955078124996</c:v>
                </c:pt>
                <c:pt idx="21">
                  <c:v>31.547545572916668</c:v>
                </c:pt>
                <c:pt idx="22">
                  <c:v>33.041136067708322</c:v>
                </c:pt>
                <c:pt idx="23">
                  <c:v>34.534726562499991</c:v>
                </c:pt>
                <c:pt idx="24">
                  <c:v>36.028317057291659</c:v>
                </c:pt>
                <c:pt idx="25">
                  <c:v>37.558336588541664</c:v>
                </c:pt>
                <c:pt idx="26">
                  <c:v>39.051927083333325</c:v>
                </c:pt>
                <c:pt idx="27">
                  <c:v>40.545517578125001</c:v>
                </c:pt>
                <c:pt idx="28">
                  <c:v>42.039108072916669</c:v>
                </c:pt>
                <c:pt idx="29">
                  <c:v>43.53269856770833</c:v>
                </c:pt>
                <c:pt idx="30">
                  <c:v>45.026289062499998</c:v>
                </c:pt>
                <c:pt idx="31">
                  <c:v>46.556308593749989</c:v>
                </c:pt>
                <c:pt idx="32">
                  <c:v>48.049899088541657</c:v>
                </c:pt>
                <c:pt idx="33">
                  <c:v>49.543489583333333</c:v>
                </c:pt>
                <c:pt idx="34">
                  <c:v>51.037080078125001</c:v>
                </c:pt>
                <c:pt idx="35">
                  <c:v>52.530670572916669</c:v>
                </c:pt>
                <c:pt idx="36">
                  <c:v>54.024261067708323</c:v>
                </c:pt>
                <c:pt idx="37">
                  <c:v>55.554280598958329</c:v>
                </c:pt>
                <c:pt idx="38">
                  <c:v>57.04787109374999</c:v>
                </c:pt>
                <c:pt idx="39">
                  <c:v>58.541461588541651</c:v>
                </c:pt>
                <c:pt idx="40">
                  <c:v>60.035052083333319</c:v>
                </c:pt>
                <c:pt idx="41">
                  <c:v>61.528642578124995</c:v>
                </c:pt>
                <c:pt idx="42">
                  <c:v>63.022233072916656</c:v>
                </c:pt>
                <c:pt idx="43">
                  <c:v>64.552252604166668</c:v>
                </c:pt>
                <c:pt idx="44">
                  <c:v>66.045843098958315</c:v>
                </c:pt>
                <c:pt idx="45">
                  <c:v>67.53943359374999</c:v>
                </c:pt>
                <c:pt idx="46">
                  <c:v>69.033024088541666</c:v>
                </c:pt>
                <c:pt idx="47">
                  <c:v>70.526614583333327</c:v>
                </c:pt>
                <c:pt idx="48">
                  <c:v>72.020205078125002</c:v>
                </c:pt>
                <c:pt idx="49">
                  <c:v>73.550224609374993</c:v>
                </c:pt>
                <c:pt idx="50">
                  <c:v>75.043815104166669</c:v>
                </c:pt>
                <c:pt idx="51">
                  <c:v>76.53740559895833</c:v>
                </c:pt>
                <c:pt idx="52">
                  <c:v>78.030996093750005</c:v>
                </c:pt>
                <c:pt idx="53">
                  <c:v>79.524586588541666</c:v>
                </c:pt>
                <c:pt idx="54">
                  <c:v>81.018177083333327</c:v>
                </c:pt>
                <c:pt idx="55">
                  <c:v>82.548196614583318</c:v>
                </c:pt>
                <c:pt idx="56">
                  <c:v>84.041787109374994</c:v>
                </c:pt>
                <c:pt idx="57">
                  <c:v>85.535377604166655</c:v>
                </c:pt>
                <c:pt idx="58">
                  <c:v>87.028968098958316</c:v>
                </c:pt>
                <c:pt idx="59">
                  <c:v>88.522558593749977</c:v>
                </c:pt>
                <c:pt idx="60">
                  <c:v>90.016149088541653</c:v>
                </c:pt>
                <c:pt idx="61">
                  <c:v>91.546168619791644</c:v>
                </c:pt>
                <c:pt idx="62">
                  <c:v>93.039759114583333</c:v>
                </c:pt>
                <c:pt idx="63">
                  <c:v>94.533349609374994</c:v>
                </c:pt>
                <c:pt idx="64">
                  <c:v>96.026940104166655</c:v>
                </c:pt>
                <c:pt idx="65">
                  <c:v>97.520530598958331</c:v>
                </c:pt>
                <c:pt idx="66">
                  <c:v>99.014121093750006</c:v>
                </c:pt>
                <c:pt idx="67">
                  <c:v>100.54414062499998</c:v>
                </c:pt>
                <c:pt idx="68">
                  <c:v>102.03773111979164</c:v>
                </c:pt>
                <c:pt idx="69">
                  <c:v>103.53132161458333</c:v>
                </c:pt>
                <c:pt idx="70">
                  <c:v>105.02491210937498</c:v>
                </c:pt>
                <c:pt idx="71">
                  <c:v>106.51850260416667</c:v>
                </c:pt>
                <c:pt idx="72">
                  <c:v>108.01209309895833</c:v>
                </c:pt>
                <c:pt idx="73">
                  <c:v>109.54211263020834</c:v>
                </c:pt>
                <c:pt idx="74">
                  <c:v>111.03570312499998</c:v>
                </c:pt>
                <c:pt idx="75">
                  <c:v>112.52929361979163</c:v>
                </c:pt>
                <c:pt idx="76">
                  <c:v>114.02288411458332</c:v>
                </c:pt>
                <c:pt idx="77">
                  <c:v>115.51647460937497</c:v>
                </c:pt>
                <c:pt idx="78">
                  <c:v>117.01006510416666</c:v>
                </c:pt>
                <c:pt idx="79">
                  <c:v>118.54008463541663</c:v>
                </c:pt>
                <c:pt idx="80">
                  <c:v>120.03367513020832</c:v>
                </c:pt>
                <c:pt idx="81">
                  <c:v>121.52726562499998</c:v>
                </c:pt>
                <c:pt idx="82">
                  <c:v>123.02085611979165</c:v>
                </c:pt>
                <c:pt idx="83">
                  <c:v>124.51444661458331</c:v>
                </c:pt>
                <c:pt idx="84">
                  <c:v>126.008037109375</c:v>
                </c:pt>
                <c:pt idx="85">
                  <c:v>127.53805664062497</c:v>
                </c:pt>
                <c:pt idx="86">
                  <c:v>129.03164713541665</c:v>
                </c:pt>
                <c:pt idx="87">
                  <c:v>130.5252376302083</c:v>
                </c:pt>
                <c:pt idx="88">
                  <c:v>132.018828125</c:v>
                </c:pt>
                <c:pt idx="89">
                  <c:v>133.51241861979165</c:v>
                </c:pt>
                <c:pt idx="90">
                  <c:v>135.00600911458329</c:v>
                </c:pt>
                <c:pt idx="91">
                  <c:v>136.53602864583331</c:v>
                </c:pt>
                <c:pt idx="92">
                  <c:v>138.02961914062502</c:v>
                </c:pt>
                <c:pt idx="93">
                  <c:v>139.52320963541666</c:v>
                </c:pt>
                <c:pt idx="94">
                  <c:v>141.01680013020831</c:v>
                </c:pt>
                <c:pt idx="95">
                  <c:v>142.51039062499999</c:v>
                </c:pt>
                <c:pt idx="96">
                  <c:v>144.00398111979166</c:v>
                </c:pt>
                <c:pt idx="97">
                  <c:v>145.53400065104168</c:v>
                </c:pt>
                <c:pt idx="98">
                  <c:v>147.02759114583333</c:v>
                </c:pt>
                <c:pt idx="99">
                  <c:v>148.521181640625</c:v>
                </c:pt>
                <c:pt idx="100">
                  <c:v>149.94191406249999</c:v>
                </c:pt>
              </c:numCache>
            </c:numRef>
          </c:xVal>
          <c:yVal>
            <c:numRef>
              <c:f>Foglio1!$L$33:$L$133</c:f>
              <c:numCache>
                <c:formatCode>General</c:formatCode>
                <c:ptCount val="101"/>
                <c:pt idx="0">
                  <c:v>15.027891759065174</c:v>
                </c:pt>
                <c:pt idx="1">
                  <c:v>14.455340243839803</c:v>
                </c:pt>
                <c:pt idx="2">
                  <c:v>14.113121968056637</c:v>
                </c:pt>
                <c:pt idx="3">
                  <c:v>13.789912066244446</c:v>
                </c:pt>
                <c:pt idx="4">
                  <c:v>13.481289908253961</c:v>
                </c:pt>
                <c:pt idx="5">
                  <c:v>13.185862327005262</c:v>
                </c:pt>
                <c:pt idx="6">
                  <c:v>12.902752163919498</c:v>
                </c:pt>
                <c:pt idx="7">
                  <c:v>12.624783724978398</c:v>
                </c:pt>
                <c:pt idx="8">
                  <c:v>12.364570184993381</c:v>
                </c:pt>
                <c:pt idx="9">
                  <c:v>12.114792742747596</c:v>
                </c:pt>
                <c:pt idx="10">
                  <c:v>11.872060720418109</c:v>
                </c:pt>
                <c:pt idx="11">
                  <c:v>11.641725438666835</c:v>
                </c:pt>
                <c:pt idx="12">
                  <c:v>11.420339417754656</c:v>
                </c:pt>
                <c:pt idx="13">
                  <c:v>11.202376495843255</c:v>
                </c:pt>
                <c:pt idx="14">
                  <c:v>10.997795673630888</c:v>
                </c:pt>
                <c:pt idx="15">
                  <c:v>10.800917091194407</c:v>
                </c:pt>
                <c:pt idx="16">
                  <c:v>10.611374214170977</c:v>
                </c:pt>
                <c:pt idx="17">
                  <c:v>10.428820863249664</c:v>
                </c:pt>
                <c:pt idx="18">
                  <c:v>10.252929937386844</c:v>
                </c:pt>
                <c:pt idx="19">
                  <c:v>10.079334029838281</c:v>
                </c:pt>
                <c:pt idx="20">
                  <c:v>9.9160014147422757</c:v>
                </c:pt>
                <c:pt idx="21">
                  <c:v>9.7584463616080406</c:v>
                </c:pt>
                <c:pt idx="22">
                  <c:v>9.6064073478435947</c:v>
                </c:pt>
                <c:pt idx="23">
                  <c:v>9.4596367319564365</c:v>
                </c:pt>
                <c:pt idx="24">
                  <c:v>9.3178999205136179</c:v>
                </c:pt>
                <c:pt idx="25">
                  <c:v>9.1776932564634457</c:v>
                </c:pt>
                <c:pt idx="26">
                  <c:v>9.0454783018582745</c:v>
                </c:pt>
                <c:pt idx="27">
                  <c:v>8.9176593927800791</c:v>
                </c:pt>
                <c:pt idx="28">
                  <c:v>8.7940470913852931</c:v>
                </c:pt>
                <c:pt idx="29">
                  <c:v>8.6744615852580296</c:v>
                </c:pt>
                <c:pt idx="30">
                  <c:v>8.5587321336455418</c:v>
                </c:pt>
                <c:pt idx="31">
                  <c:v>8.4440088045379529</c:v>
                </c:pt>
                <c:pt idx="32">
                  <c:v>8.3355974426823511</c:v>
                </c:pt>
                <c:pt idx="33">
                  <c:v>8.2305758403251446</c:v>
                </c:pt>
                <c:pt idx="34">
                  <c:v>8.1288048483938518</c:v>
                </c:pt>
                <c:pt idx="35">
                  <c:v>8.0301520957166144</c:v>
                </c:pt>
                <c:pt idx="36">
                  <c:v>7.9344916146815851</c:v>
                </c:pt>
                <c:pt idx="37">
                  <c:v>7.8394752739994029</c:v>
                </c:pt>
                <c:pt idx="38">
                  <c:v>7.7495112044422889</c:v>
                </c:pt>
                <c:pt idx="39">
                  <c:v>7.662193929609213</c:v>
                </c:pt>
                <c:pt idx="40">
                  <c:v>7.5774199118092547</c:v>
                </c:pt>
                <c:pt idx="41">
                  <c:v>7.4950904545304065</c:v>
                </c:pt>
                <c:pt idx="42">
                  <c:v>7.4101950862855572</c:v>
                </c:pt>
                <c:pt idx="43">
                  <c:v>7.3083528940892393</c:v>
                </c:pt>
                <c:pt idx="44">
                  <c:v>7.2197037384432408</c:v>
                </c:pt>
                <c:pt idx="45">
                  <c:v>7.1341271609367087</c:v>
                </c:pt>
                <c:pt idx="46">
                  <c:v>7.0514307180653528</c:v>
                </c:pt>
                <c:pt idx="47">
                  <c:v>6.971488990860915</c:v>
                </c:pt>
                <c:pt idx="48">
                  <c:v>6.8941804842930985</c:v>
                </c:pt>
                <c:pt idx="49">
                  <c:v>6.8175953592435761</c:v>
                </c:pt>
                <c:pt idx="50">
                  <c:v>6.7452679776072628</c:v>
                </c:pt>
                <c:pt idx="51">
                  <c:v>6.6752401360033335</c:v>
                </c:pt>
                <c:pt idx="52">
                  <c:v>6.6074127272414875</c:v>
                </c:pt>
                <c:pt idx="53">
                  <c:v>6.5416917733282913</c:v>
                </c:pt>
                <c:pt idx="54">
                  <c:v>6.4779881302248592</c:v>
                </c:pt>
                <c:pt idx="55">
                  <c:v>6.4147340580072898</c:v>
                </c:pt>
                <c:pt idx="56">
                  <c:v>6.354859763583466</c:v>
                </c:pt>
                <c:pt idx="57">
                  <c:v>6.2967598122812252</c:v>
                </c:pt>
                <c:pt idx="58">
                  <c:v>6.2403618408153401</c:v>
                </c:pt>
                <c:pt idx="59">
                  <c:v>6.1855970723855505</c:v>
                </c:pt>
                <c:pt idx="60">
                  <c:v>6.1324001136886501</c:v>
                </c:pt>
                <c:pt idx="61">
                  <c:v>6.0794663041614143</c:v>
                </c:pt>
                <c:pt idx="62">
                  <c:v>6.0292559437507638</c:v>
                </c:pt>
                <c:pt idx="63">
                  <c:v>5.9804343315220914</c:v>
                </c:pt>
                <c:pt idx="64">
                  <c:v>5.9329478855592042</c:v>
                </c:pt>
                <c:pt idx="65">
                  <c:v>5.8867455645328883</c:v>
                </c:pt>
                <c:pt idx="66">
                  <c:v>5.8417787297516064</c:v>
                </c:pt>
                <c:pt idx="67">
                  <c:v>5.796947744610371</c:v>
                </c:pt>
                <c:pt idx="68">
                  <c:v>5.7543423262469053</c:v>
                </c:pt>
                <c:pt idx="69">
                  <c:v>5.7128386322936437</c:v>
                </c:pt>
                <c:pt idx="70">
                  <c:v>5.6723964599501739</c:v>
                </c:pt>
                <c:pt idx="71">
                  <c:v>5.6329774317282997</c:v>
                </c:pt>
                <c:pt idx="72">
                  <c:v>5.5945449001823189</c:v>
                </c:pt>
                <c:pt idx="73">
                  <c:v>5.5561612878817561</c:v>
                </c:pt>
                <c:pt idx="74">
                  <c:v>5.5196202699698471</c:v>
                </c:pt>
                <c:pt idx="75">
                  <c:v>5.483964552928402</c:v>
                </c:pt>
                <c:pt idx="76">
                  <c:v>5.4491635957476037</c:v>
                </c:pt>
                <c:pt idx="77">
                  <c:v>5.415188185834209</c:v>
                </c:pt>
                <c:pt idx="78">
                  <c:v>5.3820103722246904</c:v>
                </c:pt>
                <c:pt idx="79">
                  <c:v>5.3488224002682738</c:v>
                </c:pt>
                <c:pt idx="80">
                  <c:v>5.3171785267721745</c:v>
                </c:pt>
                <c:pt idx="81">
                  <c:v>5.2862547680522622</c:v>
                </c:pt>
                <c:pt idx="82">
                  <c:v>5.2560276476348458</c:v>
                </c:pt>
                <c:pt idx="83">
                  <c:v>5.2264746672066584</c:v>
                </c:pt>
                <c:pt idx="84">
                  <c:v>5.1975742591388121</c:v>
                </c:pt>
                <c:pt idx="85">
                  <c:v>5.168623990541044</c:v>
                </c:pt>
                <c:pt idx="86">
                  <c:v>5.14098221196459</c:v>
                </c:pt>
                <c:pt idx="87">
                  <c:v>5.1139329950833057</c:v>
                </c:pt>
                <c:pt idx="88">
                  <c:v>5.0874580873553876</c:v>
                </c:pt>
                <c:pt idx="89">
                  <c:v>5.0615399641359105</c:v>
                </c:pt>
                <c:pt idx="90">
                  <c:v>5.0361617944871124</c:v>
                </c:pt>
                <c:pt idx="91">
                  <c:v>5.0107076153844217</c:v>
                </c:pt>
                <c:pt idx="92">
                  <c:v>4.9863736817092308</c:v>
                </c:pt>
                <c:pt idx="93">
                  <c:v>4.9625326980916942</c:v>
                </c:pt>
                <c:pt idx="94">
                  <c:v>4.9391703141814665</c:v>
                </c:pt>
                <c:pt idx="95">
                  <c:v>4.9162727264311732</c:v>
                </c:pt>
                <c:pt idx="96">
                  <c:v>4.8938266531746253</c:v>
                </c:pt>
                <c:pt idx="97">
                  <c:v>4.871287922679306</c:v>
                </c:pt>
                <c:pt idx="98">
                  <c:v>4.8497172544304785</c:v>
                </c:pt>
                <c:pt idx="99">
                  <c:v>4.8285608724461335</c:v>
                </c:pt>
                <c:pt idx="100">
                  <c:v>4.8088105542980006</c:v>
                </c:pt>
              </c:numCache>
            </c:numRef>
          </c:yVal>
          <c:smooth val="1"/>
        </c:ser>
        <c:ser>
          <c:idx val="3"/>
          <c:order val="2"/>
          <c:tx>
            <c:v>T. sup. inferiore</c:v>
          </c:tx>
          <c:marker>
            <c:symbol val="none"/>
          </c:marker>
          <c:xVal>
            <c:numRef>
              <c:f>Foglio1!$H$33:$H$133</c:f>
              <c:numCache>
                <c:formatCode>0.00</c:formatCode>
                <c:ptCount val="101"/>
                <c:pt idx="0">
                  <c:v>3.6429036458333335E-2</c:v>
                </c:pt>
                <c:pt idx="1">
                  <c:v>1.5664485677083333</c:v>
                </c:pt>
                <c:pt idx="2">
                  <c:v>3.0600390624999996</c:v>
                </c:pt>
                <c:pt idx="3">
                  <c:v>4.553629557291667</c:v>
                </c:pt>
                <c:pt idx="4">
                  <c:v>6.0472200520833326</c:v>
                </c:pt>
                <c:pt idx="5">
                  <c:v>7.5408105468749991</c:v>
                </c:pt>
                <c:pt idx="6">
                  <c:v>9.0344010416666638</c:v>
                </c:pt>
                <c:pt idx="7">
                  <c:v>10.564420572916665</c:v>
                </c:pt>
                <c:pt idx="8">
                  <c:v>12.058011067708332</c:v>
                </c:pt>
                <c:pt idx="9">
                  <c:v>13.551601562499998</c:v>
                </c:pt>
                <c:pt idx="10">
                  <c:v>15.045192057291667</c:v>
                </c:pt>
                <c:pt idx="11">
                  <c:v>16.53878255208333</c:v>
                </c:pt>
                <c:pt idx="12">
                  <c:v>18.032373046874998</c:v>
                </c:pt>
                <c:pt idx="13">
                  <c:v>19.562392578124996</c:v>
                </c:pt>
                <c:pt idx="14">
                  <c:v>21.055983072916668</c:v>
                </c:pt>
                <c:pt idx="15">
                  <c:v>22.549573567708332</c:v>
                </c:pt>
                <c:pt idx="16">
                  <c:v>24.043164062500001</c:v>
                </c:pt>
                <c:pt idx="17">
                  <c:v>25.536754557291665</c:v>
                </c:pt>
                <c:pt idx="18">
                  <c:v>27.030345052083334</c:v>
                </c:pt>
                <c:pt idx="19">
                  <c:v>28.560364583333328</c:v>
                </c:pt>
                <c:pt idx="20">
                  <c:v>30.053955078124996</c:v>
                </c:pt>
                <c:pt idx="21">
                  <c:v>31.547545572916668</c:v>
                </c:pt>
                <c:pt idx="22">
                  <c:v>33.041136067708322</c:v>
                </c:pt>
                <c:pt idx="23">
                  <c:v>34.534726562499991</c:v>
                </c:pt>
                <c:pt idx="24">
                  <c:v>36.028317057291659</c:v>
                </c:pt>
                <c:pt idx="25">
                  <c:v>37.558336588541664</c:v>
                </c:pt>
                <c:pt idx="26">
                  <c:v>39.051927083333325</c:v>
                </c:pt>
                <c:pt idx="27">
                  <c:v>40.545517578125001</c:v>
                </c:pt>
                <c:pt idx="28">
                  <c:v>42.039108072916669</c:v>
                </c:pt>
                <c:pt idx="29">
                  <c:v>43.53269856770833</c:v>
                </c:pt>
                <c:pt idx="30">
                  <c:v>45.026289062499998</c:v>
                </c:pt>
                <c:pt idx="31">
                  <c:v>46.556308593749989</c:v>
                </c:pt>
                <c:pt idx="32">
                  <c:v>48.049899088541657</c:v>
                </c:pt>
                <c:pt idx="33">
                  <c:v>49.543489583333333</c:v>
                </c:pt>
                <c:pt idx="34">
                  <c:v>51.037080078125001</c:v>
                </c:pt>
                <c:pt idx="35">
                  <c:v>52.530670572916669</c:v>
                </c:pt>
                <c:pt idx="36">
                  <c:v>54.024261067708323</c:v>
                </c:pt>
                <c:pt idx="37">
                  <c:v>55.554280598958329</c:v>
                </c:pt>
                <c:pt idx="38">
                  <c:v>57.04787109374999</c:v>
                </c:pt>
                <c:pt idx="39">
                  <c:v>58.541461588541651</c:v>
                </c:pt>
                <c:pt idx="40">
                  <c:v>60.035052083333319</c:v>
                </c:pt>
                <c:pt idx="41">
                  <c:v>61.528642578124995</c:v>
                </c:pt>
                <c:pt idx="42">
                  <c:v>63.022233072916656</c:v>
                </c:pt>
                <c:pt idx="43">
                  <c:v>64.552252604166668</c:v>
                </c:pt>
                <c:pt idx="44">
                  <c:v>66.045843098958315</c:v>
                </c:pt>
                <c:pt idx="45">
                  <c:v>67.53943359374999</c:v>
                </c:pt>
                <c:pt idx="46">
                  <c:v>69.033024088541666</c:v>
                </c:pt>
                <c:pt idx="47">
                  <c:v>70.526614583333327</c:v>
                </c:pt>
                <c:pt idx="48">
                  <c:v>72.020205078125002</c:v>
                </c:pt>
                <c:pt idx="49">
                  <c:v>73.550224609374993</c:v>
                </c:pt>
                <c:pt idx="50">
                  <c:v>75.043815104166669</c:v>
                </c:pt>
                <c:pt idx="51">
                  <c:v>76.53740559895833</c:v>
                </c:pt>
                <c:pt idx="52">
                  <c:v>78.030996093750005</c:v>
                </c:pt>
                <c:pt idx="53">
                  <c:v>79.524586588541666</c:v>
                </c:pt>
                <c:pt idx="54">
                  <c:v>81.018177083333327</c:v>
                </c:pt>
                <c:pt idx="55">
                  <c:v>82.548196614583318</c:v>
                </c:pt>
                <c:pt idx="56">
                  <c:v>84.041787109374994</c:v>
                </c:pt>
                <c:pt idx="57">
                  <c:v>85.535377604166655</c:v>
                </c:pt>
                <c:pt idx="58">
                  <c:v>87.028968098958316</c:v>
                </c:pt>
                <c:pt idx="59">
                  <c:v>88.522558593749977</c:v>
                </c:pt>
                <c:pt idx="60">
                  <c:v>90.016149088541653</c:v>
                </c:pt>
                <c:pt idx="61">
                  <c:v>91.546168619791644</c:v>
                </c:pt>
                <c:pt idx="62">
                  <c:v>93.039759114583333</c:v>
                </c:pt>
                <c:pt idx="63">
                  <c:v>94.533349609374994</c:v>
                </c:pt>
                <c:pt idx="64">
                  <c:v>96.026940104166655</c:v>
                </c:pt>
                <c:pt idx="65">
                  <c:v>97.520530598958331</c:v>
                </c:pt>
                <c:pt idx="66">
                  <c:v>99.014121093750006</c:v>
                </c:pt>
                <c:pt idx="67">
                  <c:v>100.54414062499998</c:v>
                </c:pt>
                <c:pt idx="68">
                  <c:v>102.03773111979164</c:v>
                </c:pt>
                <c:pt idx="69">
                  <c:v>103.53132161458333</c:v>
                </c:pt>
                <c:pt idx="70">
                  <c:v>105.02491210937498</c:v>
                </c:pt>
                <c:pt idx="71">
                  <c:v>106.51850260416667</c:v>
                </c:pt>
                <c:pt idx="72">
                  <c:v>108.01209309895833</c:v>
                </c:pt>
                <c:pt idx="73">
                  <c:v>109.54211263020834</c:v>
                </c:pt>
                <c:pt idx="74">
                  <c:v>111.03570312499998</c:v>
                </c:pt>
                <c:pt idx="75">
                  <c:v>112.52929361979163</c:v>
                </c:pt>
                <c:pt idx="76">
                  <c:v>114.02288411458332</c:v>
                </c:pt>
                <c:pt idx="77">
                  <c:v>115.51647460937497</c:v>
                </c:pt>
                <c:pt idx="78">
                  <c:v>117.01006510416666</c:v>
                </c:pt>
                <c:pt idx="79">
                  <c:v>118.54008463541663</c:v>
                </c:pt>
                <c:pt idx="80">
                  <c:v>120.03367513020832</c:v>
                </c:pt>
                <c:pt idx="81">
                  <c:v>121.52726562499998</c:v>
                </c:pt>
                <c:pt idx="82">
                  <c:v>123.02085611979165</c:v>
                </c:pt>
                <c:pt idx="83">
                  <c:v>124.51444661458331</c:v>
                </c:pt>
                <c:pt idx="84">
                  <c:v>126.008037109375</c:v>
                </c:pt>
                <c:pt idx="85">
                  <c:v>127.53805664062497</c:v>
                </c:pt>
                <c:pt idx="86">
                  <c:v>129.03164713541665</c:v>
                </c:pt>
                <c:pt idx="87">
                  <c:v>130.5252376302083</c:v>
                </c:pt>
                <c:pt idx="88">
                  <c:v>132.018828125</c:v>
                </c:pt>
                <c:pt idx="89">
                  <c:v>133.51241861979165</c:v>
                </c:pt>
                <c:pt idx="90">
                  <c:v>135.00600911458329</c:v>
                </c:pt>
                <c:pt idx="91">
                  <c:v>136.53602864583331</c:v>
                </c:pt>
                <c:pt idx="92">
                  <c:v>138.02961914062502</c:v>
                </c:pt>
                <c:pt idx="93">
                  <c:v>139.52320963541666</c:v>
                </c:pt>
                <c:pt idx="94">
                  <c:v>141.01680013020831</c:v>
                </c:pt>
                <c:pt idx="95">
                  <c:v>142.51039062499999</c:v>
                </c:pt>
                <c:pt idx="96">
                  <c:v>144.00398111979166</c:v>
                </c:pt>
                <c:pt idx="97">
                  <c:v>145.53400065104168</c:v>
                </c:pt>
                <c:pt idx="98">
                  <c:v>147.02759114583333</c:v>
                </c:pt>
                <c:pt idx="99">
                  <c:v>148.521181640625</c:v>
                </c:pt>
                <c:pt idx="100">
                  <c:v>149.94191406249999</c:v>
                </c:pt>
              </c:numCache>
            </c:numRef>
          </c:xVal>
          <c:yVal>
            <c:numRef>
              <c:f>Foglio1!$M$33:$M$133</c:f>
              <c:numCache>
                <c:formatCode>General</c:formatCode>
                <c:ptCount val="101"/>
                <c:pt idx="0">
                  <c:v>15.12</c:v>
                </c:pt>
                <c:pt idx="1">
                  <c:v>14.859389050606989</c:v>
                </c:pt>
                <c:pt idx="2">
                  <c:v>14.508211793745794</c:v>
                </c:pt>
                <c:pt idx="3">
                  <c:v>14.169835036350831</c:v>
                </c:pt>
                <c:pt idx="4">
                  <c:v>13.841753634276525</c:v>
                </c:pt>
                <c:pt idx="5">
                  <c:v>13.531341039827419</c:v>
                </c:pt>
                <c:pt idx="6">
                  <c:v>13.23390862733334</c:v>
                </c:pt>
                <c:pt idx="7">
                  <c:v>12.941996938555096</c:v>
                </c:pt>
                <c:pt idx="8">
                  <c:v>12.668865598118739</c:v>
                </c:pt>
                <c:pt idx="9">
                  <c:v>12.406822320790409</c:v>
                </c:pt>
                <c:pt idx="10">
                  <c:v>12.155306558798603</c:v>
                </c:pt>
                <c:pt idx="11">
                  <c:v>11.913790282046273</c:v>
                </c:pt>
                <c:pt idx="12">
                  <c:v>11.681776107366751</c:v>
                </c:pt>
                <c:pt idx="13">
                  <c:v>11.453465893695101</c:v>
                </c:pt>
                <c:pt idx="14">
                  <c:v>11.239281070487035</c:v>
                </c:pt>
                <c:pt idx="15">
                  <c:v>11.03326141369522</c:v>
                </c:pt>
                <c:pt idx="16">
                  <c:v>10.835014382276958</c:v>
                </c:pt>
                <c:pt idx="17">
                  <c:v>10.644169437401859</c:v>
                </c:pt>
                <c:pt idx="18">
                  <c:v>10.460376650974831</c:v>
                </c:pt>
                <c:pt idx="19">
                  <c:v>10.279067900043101</c:v>
                </c:pt>
                <c:pt idx="20">
                  <c:v>10.108558268662973</c:v>
                </c:pt>
                <c:pt idx="21">
                  <c:v>9.9441551744775385</c:v>
                </c:pt>
                <c:pt idx="22">
                  <c:v>9.785579435226003</c:v>
                </c:pt>
                <c:pt idx="23">
                  <c:v>9.6325668212070887</c:v>
                </c:pt>
                <c:pt idx="24">
                  <c:v>9.4848671500478261</c:v>
                </c:pt>
                <c:pt idx="25">
                  <c:v>9.3388263094609432</c:v>
                </c:pt>
                <c:pt idx="26">
                  <c:v>9.2011696220845032</c:v>
                </c:pt>
                <c:pt idx="27">
                  <c:v>9.0681463962140185</c:v>
                </c:pt>
                <c:pt idx="28">
                  <c:v>8.9395549985152041</c:v>
                </c:pt>
                <c:pt idx="29">
                  <c:v>8.8152041301670856</c:v>
                </c:pt>
                <c:pt idx="30">
                  <c:v>8.6949122272529706</c:v>
                </c:pt>
                <c:pt idx="31">
                  <c:v>8.5757149013190848</c:v>
                </c:pt>
                <c:pt idx="32">
                  <c:v>8.4631212335143147</c:v>
                </c:pt>
                <c:pt idx="33">
                  <c:v>8.354091120053015</c:v>
                </c:pt>
                <c:pt idx="34">
                  <c:v>8.2484768566664375</c:v>
                </c:pt>
                <c:pt idx="35">
                  <c:v>8.1461379943356906</c:v>
                </c:pt>
                <c:pt idx="36">
                  <c:v>8.0469409353054644</c:v>
                </c:pt>
                <c:pt idx="37">
                  <c:v>7.9484492712078936</c:v>
                </c:pt>
                <c:pt idx="38">
                  <c:v>7.8552296741616141</c:v>
                </c:pt>
                <c:pt idx="39">
                  <c:v>7.7647857795216479</c:v>
                </c:pt>
                <c:pt idx="40">
                  <c:v>7.6770079603149766</c:v>
                </c:pt>
                <c:pt idx="41">
                  <c:v>7.5917917572518858</c:v>
                </c:pt>
                <c:pt idx="42">
                  <c:v>7.5090376021869067</c:v>
                </c:pt>
                <c:pt idx="43">
                  <c:v>7.4164339493867502</c:v>
                </c:pt>
                <c:pt idx="44">
                  <c:v>7.3241167712195407</c:v>
                </c:pt>
                <c:pt idx="45">
                  <c:v>7.2349382935930855</c:v>
                </c:pt>
                <c:pt idx="46">
                  <c:v>7.1488139486343805</c:v>
                </c:pt>
                <c:pt idx="47">
                  <c:v>7.0656032659686003</c:v>
                </c:pt>
                <c:pt idx="48">
                  <c:v>6.9851738550983358</c:v>
                </c:pt>
                <c:pt idx="49">
                  <c:v>6.9055361394765802</c:v>
                </c:pt>
                <c:pt idx="50">
                  <c:v>6.8303620288082758</c:v>
                </c:pt>
                <c:pt idx="51">
                  <c:v>6.757611944004239</c:v>
                </c:pt>
                <c:pt idx="52">
                  <c:v>6.6871802205020119</c:v>
                </c:pt>
                <c:pt idx="53">
                  <c:v>6.6189667306111755</c:v>
                </c:pt>
                <c:pt idx="54">
                  <c:v>6.5528765505491844</c:v>
                </c:pt>
                <c:pt idx="55">
                  <c:v>6.4872819597172189</c:v>
                </c:pt>
                <c:pt idx="56">
                  <c:v>6.4252193983585579</c:v>
                </c:pt>
                <c:pt idx="57">
                  <c:v>6.3650216864908984</c:v>
                </c:pt>
                <c:pt idx="58">
                  <c:v>6.3066119235738825</c:v>
                </c:pt>
                <c:pt idx="59">
                  <c:v>6.249917055181121</c:v>
                </c:pt>
                <c:pt idx="60">
                  <c:v>6.1948676534112224</c:v>
                </c:pt>
                <c:pt idx="61">
                  <c:v>6.1401127622446694</c:v>
                </c:pt>
                <c:pt idx="62">
                  <c:v>6.0881957352085765</c:v>
                </c:pt>
                <c:pt idx="63">
                  <c:v>6.0377342383336883</c:v>
                </c:pt>
                <c:pt idx="64">
                  <c:v>5.9886714878277161</c:v>
                </c:pt>
                <c:pt idx="65">
                  <c:v>5.9409534161493189</c:v>
                </c:pt>
                <c:pt idx="66">
                  <c:v>5.894528523298356</c:v>
                </c:pt>
                <c:pt idx="67">
                  <c:v>5.8482609100076672</c:v>
                </c:pt>
                <c:pt idx="68">
                  <c:v>5.8043060927836256</c:v>
                </c:pt>
                <c:pt idx="69">
                  <c:v>5.7615029435637748</c:v>
                </c:pt>
                <c:pt idx="70">
                  <c:v>5.7198089670746812</c:v>
                </c:pt>
                <c:pt idx="71">
                  <c:v>5.679183614188732</c:v>
                </c:pt>
                <c:pt idx="72">
                  <c:v>5.6395881795492775</c:v>
                </c:pt>
                <c:pt idx="73">
                  <c:v>5.6000562851729185</c:v>
                </c:pt>
                <c:pt idx="74">
                  <c:v>5.5624343997675822</c:v>
                </c:pt>
                <c:pt idx="75">
                  <c:v>5.5257356394672703</c:v>
                </c:pt>
                <c:pt idx="76">
                  <c:v>5.4899278001009248</c:v>
                </c:pt>
                <c:pt idx="77">
                  <c:v>5.4549800903093999</c:v>
                </c:pt>
                <c:pt idx="78">
                  <c:v>5.4208630599889869</c:v>
                </c:pt>
                <c:pt idx="79">
                  <c:v>5.3867457789114059</c:v>
                </c:pt>
                <c:pt idx="80">
                  <c:v>5.3542253768886372</c:v>
                </c:pt>
                <c:pt idx="81">
                  <c:v>5.3224540792440145</c:v>
                </c:pt>
                <c:pt idx="82">
                  <c:v>5.2914071883443867</c:v>
                </c:pt>
                <c:pt idx="83">
                  <c:v>5.2610610445043013</c:v>
                </c:pt>
                <c:pt idx="84">
                  <c:v>5.2313929752586192</c:v>
                </c:pt>
                <c:pt idx="85">
                  <c:v>5.2016816661982315</c:v>
                </c:pt>
                <c:pt idx="86">
                  <c:v>5.1733206873151794</c:v>
                </c:pt>
                <c:pt idx="87">
                  <c:v>5.1455747447551463</c:v>
                </c:pt>
                <c:pt idx="88">
                  <c:v>5.1184246795784247</c:v>
                </c:pt>
                <c:pt idx="89">
                  <c:v>5.0918521036600826</c:v>
                </c:pt>
                <c:pt idx="90">
                  <c:v>5.0658393632518575</c:v>
                </c:pt>
                <c:pt idx="91">
                  <c:v>5.039754931735116</c:v>
                </c:pt>
                <c:pt idx="92">
                  <c:v>5.0148243134756409</c:v>
                </c:pt>
                <c:pt idx="93">
                  <c:v>4.9904042652533578</c:v>
                </c:pt>
                <c:pt idx="94">
                  <c:v>4.966479757375641</c:v>
                </c:pt>
                <c:pt idx="95">
                  <c:v>4.9430363381434681</c:v>
                </c:pt>
                <c:pt idx="96">
                  <c:v>4.920060107353784</c:v>
                </c:pt>
                <c:pt idx="97">
                  <c:v>4.8969939237112223</c:v>
                </c:pt>
                <c:pt idx="98">
                  <c:v>4.8749230486388395</c:v>
                </c:pt>
                <c:pt idx="99">
                  <c:v>4.8532804285711464</c:v>
                </c:pt>
                <c:pt idx="100">
                  <c:v>4.8330800854134512</c:v>
                </c:pt>
              </c:numCache>
            </c:numRef>
          </c:yVal>
          <c:smooth val="1"/>
        </c:ser>
        <c:ser>
          <c:idx val="1"/>
          <c:order val="3"/>
          <c:tx>
            <c:v>T. aria</c:v>
          </c:tx>
          <c:marker>
            <c:symbol val="none"/>
          </c:marker>
          <c:xVal>
            <c:numRef>
              <c:f>Foglio1!$A$69:$A$129</c:f>
              <c:numCache>
                <c:formatCode>0.00</c:formatCode>
                <c:ptCount val="61"/>
                <c:pt idx="0" formatCode="0">
                  <c:v>3.6429036458333335E-2</c:v>
                </c:pt>
                <c:pt idx="1">
                  <c:v>2.5348537868923606</c:v>
                </c:pt>
                <c:pt idx="2">
                  <c:v>5.033278537326388</c:v>
                </c:pt>
                <c:pt idx="3">
                  <c:v>7.5317032877604149</c:v>
                </c:pt>
                <c:pt idx="4">
                  <c:v>10.030128038194443</c:v>
                </c:pt>
                <c:pt idx="5">
                  <c:v>12.52855278862847</c:v>
                </c:pt>
                <c:pt idx="6">
                  <c:v>15.026977539062498</c:v>
                </c:pt>
                <c:pt idx="7">
                  <c:v>17.525402289496526</c:v>
                </c:pt>
                <c:pt idx="8">
                  <c:v>20.023827039930552</c:v>
                </c:pt>
                <c:pt idx="9">
                  <c:v>22.522251790364578</c:v>
                </c:pt>
                <c:pt idx="10">
                  <c:v>25.020676540798604</c:v>
                </c:pt>
                <c:pt idx="11">
                  <c:v>27.51910129123263</c:v>
                </c:pt>
                <c:pt idx="12">
                  <c:v>30.017526041666656</c:v>
                </c:pt>
                <c:pt idx="13">
                  <c:v>32.515950792100682</c:v>
                </c:pt>
                <c:pt idx="14">
                  <c:v>35.014375542534708</c:v>
                </c:pt>
                <c:pt idx="15">
                  <c:v>37.512800292968734</c:v>
                </c:pt>
                <c:pt idx="16">
                  <c:v>40.01122504340276</c:v>
                </c:pt>
                <c:pt idx="17">
                  <c:v>42.509649793836786</c:v>
                </c:pt>
                <c:pt idx="18">
                  <c:v>45.008074544270812</c:v>
                </c:pt>
                <c:pt idx="19">
                  <c:v>47.506499294704838</c:v>
                </c:pt>
                <c:pt idx="20">
                  <c:v>50.004924045138864</c:v>
                </c:pt>
                <c:pt idx="21">
                  <c:v>52.50334879557289</c:v>
                </c:pt>
                <c:pt idx="22">
                  <c:v>55.001773546006916</c:v>
                </c:pt>
                <c:pt idx="23">
                  <c:v>57.500198296440942</c:v>
                </c:pt>
                <c:pt idx="24">
                  <c:v>59.998623046874968</c:v>
                </c:pt>
                <c:pt idx="25">
                  <c:v>62.497047797308994</c:v>
                </c:pt>
                <c:pt idx="26">
                  <c:v>64.99547254774302</c:v>
                </c:pt>
                <c:pt idx="27">
                  <c:v>67.493897298177046</c:v>
                </c:pt>
                <c:pt idx="28">
                  <c:v>69.992322048611072</c:v>
                </c:pt>
                <c:pt idx="29">
                  <c:v>72.490746799045098</c:v>
                </c:pt>
                <c:pt idx="30">
                  <c:v>74.989171549479124</c:v>
                </c:pt>
                <c:pt idx="31">
                  <c:v>77.48759629991315</c:v>
                </c:pt>
                <c:pt idx="32">
                  <c:v>79.986021050347176</c:v>
                </c:pt>
                <c:pt idx="33">
                  <c:v>82.484445800781202</c:v>
                </c:pt>
                <c:pt idx="34">
                  <c:v>84.982870551215228</c:v>
                </c:pt>
                <c:pt idx="35">
                  <c:v>87.481295301649254</c:v>
                </c:pt>
                <c:pt idx="36">
                  <c:v>89.97972005208328</c:v>
                </c:pt>
                <c:pt idx="37">
                  <c:v>92.478144802517306</c:v>
                </c:pt>
                <c:pt idx="38">
                  <c:v>94.976569552951332</c:v>
                </c:pt>
                <c:pt idx="39">
                  <c:v>97.474994303385358</c:v>
                </c:pt>
                <c:pt idx="40">
                  <c:v>99.973419053819384</c:v>
                </c:pt>
                <c:pt idx="41">
                  <c:v>102.47184380425341</c:v>
                </c:pt>
                <c:pt idx="42">
                  <c:v>104.97026855468744</c:v>
                </c:pt>
                <c:pt idx="43">
                  <c:v>107.46869330512146</c:v>
                </c:pt>
                <c:pt idx="44">
                  <c:v>109.96711805555549</c:v>
                </c:pt>
                <c:pt idx="45">
                  <c:v>112.46554280598951</c:v>
                </c:pt>
                <c:pt idx="46">
                  <c:v>114.96396755642354</c:v>
                </c:pt>
                <c:pt idx="47">
                  <c:v>117.46239230685757</c:v>
                </c:pt>
                <c:pt idx="48">
                  <c:v>119.96081705729159</c:v>
                </c:pt>
                <c:pt idx="49">
                  <c:v>122.45924180772562</c:v>
                </c:pt>
                <c:pt idx="50">
                  <c:v>124.95766655815964</c:v>
                </c:pt>
                <c:pt idx="51">
                  <c:v>127.45609130859367</c:v>
                </c:pt>
                <c:pt idx="52">
                  <c:v>129.9545160590277</c:v>
                </c:pt>
                <c:pt idx="53">
                  <c:v>132.45294080946172</c:v>
                </c:pt>
                <c:pt idx="54">
                  <c:v>134.95136555989575</c:v>
                </c:pt>
                <c:pt idx="55">
                  <c:v>137.44979031032977</c:v>
                </c:pt>
                <c:pt idx="56">
                  <c:v>139.9482150607638</c:v>
                </c:pt>
                <c:pt idx="57">
                  <c:v>142.44663981119783</c:v>
                </c:pt>
                <c:pt idx="58">
                  <c:v>144.94506456163185</c:v>
                </c:pt>
                <c:pt idx="59">
                  <c:v>147.44348931206588</c:v>
                </c:pt>
                <c:pt idx="60">
                  <c:v>149.94191406249999</c:v>
                </c:pt>
              </c:numCache>
            </c:numRef>
          </c:xVal>
          <c:yVal>
            <c:numRef>
              <c:f>Foglio1!$B$69:$B$129</c:f>
              <c:numCache>
                <c:formatCode>0.00</c:formatCode>
                <c:ptCount val="61"/>
                <c:pt idx="0">
                  <c:v>5.2325591893859</c:v>
                </c:pt>
                <c:pt idx="1">
                  <c:v>5.2020508667887286</c:v>
                </c:pt>
                <c:pt idx="2">
                  <c:v>5.1718384830479538</c:v>
                </c:pt>
                <c:pt idx="3">
                  <c:v>5.1419237349744593</c:v>
                </c:pt>
                <c:pt idx="4">
                  <c:v>5.1123082444075481</c:v>
                </c:pt>
                <c:pt idx="5">
                  <c:v>5.0829935575351337</c:v>
                </c:pt>
                <c:pt idx="6">
                  <c:v>5.0539811442125897</c:v>
                </c:pt>
                <c:pt idx="7">
                  <c:v>5.0252723972830049</c:v>
                </c:pt>
                <c:pt idx="8">
                  <c:v>4.9968686318968318</c:v>
                </c:pt>
                <c:pt idx="9">
                  <c:v>4.9687710848316309</c:v>
                </c:pt>
                <c:pt idx="10">
                  <c:v>4.9409809138145002</c:v>
                </c:pt>
                <c:pt idx="11">
                  <c:v>4.9134991968429071</c:v>
                </c:pt>
                <c:pt idx="12">
                  <c:v>4.8863269315042404</c:v>
                </c:pt>
                <c:pt idx="13">
                  <c:v>4.8594650342993591</c:v>
                </c:pt>
                <c:pt idx="14">
                  <c:v>4.8329143399645753</c:v>
                </c:pt>
                <c:pt idx="15">
                  <c:v>4.8066756007938922</c:v>
                </c:pt>
                <c:pt idx="16">
                  <c:v>4.7807494859611781</c:v>
                </c:pt>
                <c:pt idx="17">
                  <c:v>4.7551365808437795</c:v>
                </c:pt>
                <c:pt idx="18">
                  <c:v>4.729837386346742</c:v>
                </c:pt>
                <c:pt idx="19">
                  <c:v>4.7048523182250479</c:v>
                </c:pt>
                <c:pt idx="20">
                  <c:v>4.680181706409436</c:v>
                </c:pt>
                <c:pt idx="21">
                  <c:v>4.6558257943288313</c:v>
                </c:pt>
                <c:pt idx="22">
                  <c:v>4.6317847382380188</c:v>
                </c:pt>
                <c:pt idx="23">
                  <c:v>4.608058606539978</c:v>
                </c:pt>
                <c:pt idx="24">
                  <c:v>4.5846473791130444</c:v>
                </c:pt>
                <c:pt idx="25">
                  <c:v>4.5615509466358981</c:v>
                </c:pt>
                <c:pt idx="26">
                  <c:v>4.5387691099150453</c:v>
                </c:pt>
                <c:pt idx="27">
                  <c:v>4.5163015792083678</c:v>
                </c:pt>
                <c:pt idx="28">
                  <c:v>4.4941479735560579</c:v>
                </c:pt>
                <c:pt idx="29">
                  <c:v>4.4723078201049669</c:v>
                </c:pt>
                <c:pt idx="30">
                  <c:v>4.450780553436279</c:v>
                </c:pt>
                <c:pt idx="31">
                  <c:v>4.429565514894624</c:v>
                </c:pt>
                <c:pt idx="32">
                  <c:v>4.408661951915879</c:v>
                </c:pt>
                <c:pt idx="33">
                  <c:v>4.3880690173544581</c:v>
                </c:pt>
                <c:pt idx="34">
                  <c:v>4.3677857688137367</c:v>
                </c:pt>
                <c:pt idx="35">
                  <c:v>4.3478111679743003</c:v>
                </c:pt>
                <c:pt idx="36">
                  <c:v>4.3281440799248161</c:v>
                </c:pt>
                <c:pt idx="37">
                  <c:v>4.3087832724896105</c:v>
                </c:pt>
                <c:pt idx="38">
                  <c:v>4.2897274155605638</c:v>
                </c:pt>
                <c:pt idx="39">
                  <c:v>4.2709750804284292</c:v>
                </c:pt>
                <c:pt idx="40">
                  <c:v>4.2525247391108261</c:v>
                </c:pt>
                <c:pt idx="41">
                  <c:v>4.2343747636866604</c:v>
                </c:pt>
                <c:pt idx="42">
                  <c:v>4.2165234256250139</c:v>
                </c:pt>
                <c:pt idx="43">
                  <c:v>4.1989688951204274</c:v>
                </c:pt>
                <c:pt idx="44">
                  <c:v>4.181709240420191</c:v>
                </c:pt>
                <c:pt idx="45">
                  <c:v>4.1647424271619942</c:v>
                </c:pt>
                <c:pt idx="46">
                  <c:v>4.1480663177038055</c:v>
                </c:pt>
                <c:pt idx="47">
                  <c:v>4.1316786704579416</c:v>
                </c:pt>
                <c:pt idx="48">
                  <c:v>4.115577139224496</c:v>
                </c:pt>
                <c:pt idx="49">
                  <c:v>4.0997592725261116</c:v>
                </c:pt>
                <c:pt idx="50">
                  <c:v>4.084222512939939</c:v>
                </c:pt>
                <c:pt idx="51">
                  <c:v>4.0689641964356698</c:v>
                </c:pt>
                <c:pt idx="52">
                  <c:v>4.0539815517081026</c:v>
                </c:pt>
                <c:pt idx="53">
                  <c:v>4.0392716995118514</c:v>
                </c:pt>
                <c:pt idx="54">
                  <c:v>4.0248316519996985</c:v>
                </c:pt>
                <c:pt idx="55">
                  <c:v>4.0106583120568553</c:v>
                </c:pt>
                <c:pt idx="56">
                  <c:v>3.9967484726352547</c:v>
                </c:pt>
                <c:pt idx="57">
                  <c:v>3.9830988160951017</c:v>
                </c:pt>
                <c:pt idx="58">
                  <c:v>3.969705913537088</c:v>
                </c:pt>
                <c:pt idx="59">
                  <c:v>3.956566224141576</c:v>
                </c:pt>
                <c:pt idx="60">
                  <c:v>3.9436760945080396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12256"/>
        <c:axId val="76114176"/>
      </c:scatterChart>
      <c:valAx>
        <c:axId val="76112256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[min]</a:t>
                </a:r>
              </a:p>
            </c:rich>
          </c:tx>
          <c:layout>
            <c:manualLayout>
              <c:xMode val="edge"/>
              <c:yMode val="edge"/>
              <c:x val="0.84825746810025593"/>
              <c:y val="0.960831985582012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76114176"/>
        <c:crosses val="autoZero"/>
        <c:crossBetween val="midCat"/>
        <c:majorUnit val="10"/>
        <c:minorUnit val="5"/>
      </c:valAx>
      <c:valAx>
        <c:axId val="76114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Temperaura [°C]</a:t>
                </a:r>
              </a:p>
            </c:rich>
          </c:tx>
          <c:layout>
            <c:manualLayout>
              <c:xMode val="edge"/>
              <c:yMode val="edge"/>
              <c:x val="4.0873083259598229E-3"/>
              <c:y val="4.74260141135052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6112256"/>
        <c:crosses val="autoZero"/>
        <c:crossBetween val="midCat"/>
        <c:majorUnit val="1"/>
      </c:valAx>
    </c:plotArea>
    <c:legend>
      <c:legendPos val="r"/>
      <c:layout>
        <c:manualLayout>
          <c:xMode val="edge"/>
          <c:yMode val="edge"/>
          <c:x val="0.76395098030453346"/>
          <c:y val="5.6502249429022287E-2"/>
          <c:w val="0.18497069960466064"/>
          <c:h val="0.18046819746334103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Temperatura</a:t>
            </a:r>
            <a:r>
              <a:rPr lang="it-IT" baseline="0"/>
              <a:t> durante il giorno</a:t>
            </a:r>
            <a:endParaRPr lang="it-IT"/>
          </a:p>
        </c:rich>
      </c:tx>
      <c:layout>
        <c:manualLayout>
          <c:xMode val="edge"/>
          <c:yMode val="edge"/>
          <c:x val="0.31866007516105943"/>
          <c:y val="3.245942571785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102093772369361E-2"/>
          <c:y val="2.7721647153656354E-2"/>
          <c:w val="0.87546230016702453"/>
          <c:h val="0.87477110305032091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Foglio1!$Q$33:$Q$53</c:f>
              <c:numCache>
                <c:formatCode>0.0</c:formatCode>
                <c:ptCount val="21"/>
                <c:pt idx="0">
                  <c:v>0</c:v>
                </c:pt>
                <c:pt idx="1">
                  <c:v>1.2</c:v>
                </c:pt>
                <c:pt idx="2">
                  <c:v>2.4</c:v>
                </c:pt>
                <c:pt idx="3">
                  <c:v>3.5999999999999996</c:v>
                </c:pt>
                <c:pt idx="4">
                  <c:v>4.8</c:v>
                </c:pt>
                <c:pt idx="5">
                  <c:v>6</c:v>
                </c:pt>
                <c:pt idx="6">
                  <c:v>7.2</c:v>
                </c:pt>
                <c:pt idx="7">
                  <c:v>8.4</c:v>
                </c:pt>
                <c:pt idx="8">
                  <c:v>9.6</c:v>
                </c:pt>
                <c:pt idx="9">
                  <c:v>10.799999999999999</c:v>
                </c:pt>
                <c:pt idx="10">
                  <c:v>11.999999999999998</c:v>
                </c:pt>
                <c:pt idx="11">
                  <c:v>13.199999999999998</c:v>
                </c:pt>
                <c:pt idx="12">
                  <c:v>14.399999999999997</c:v>
                </c:pt>
                <c:pt idx="13">
                  <c:v>15.599999999999996</c:v>
                </c:pt>
                <c:pt idx="14">
                  <c:v>16.799999999999997</c:v>
                </c:pt>
                <c:pt idx="15">
                  <c:v>17.999999999999996</c:v>
                </c:pt>
                <c:pt idx="16">
                  <c:v>19.199999999999996</c:v>
                </c:pt>
                <c:pt idx="17">
                  <c:v>20.399999999999995</c:v>
                </c:pt>
                <c:pt idx="18">
                  <c:v>21.599999999999994</c:v>
                </c:pt>
                <c:pt idx="19">
                  <c:v>22.799999999999994</c:v>
                </c:pt>
                <c:pt idx="20">
                  <c:v>23.999999999999993</c:v>
                </c:pt>
              </c:numCache>
            </c:numRef>
          </c:xVal>
          <c:yVal>
            <c:numRef>
              <c:f>Foglio1!$R$33:$R$53</c:f>
              <c:numCache>
                <c:formatCode>0.0</c:formatCode>
                <c:ptCount val="21"/>
                <c:pt idx="0">
                  <c:v>3.8273042252868708</c:v>
                </c:pt>
                <c:pt idx="1">
                  <c:v>3.5845441536419012</c:v>
                </c:pt>
                <c:pt idx="2">
                  <c:v>3.3378352539963752</c:v>
                </c:pt>
                <c:pt idx="3">
                  <c:v>3.1142888104448447</c:v>
                </c:pt>
                <c:pt idx="4">
                  <c:v>3.6011062259170092</c:v>
                </c:pt>
                <c:pt idx="5">
                  <c:v>4.999871476952694</c:v>
                </c:pt>
                <c:pt idx="6">
                  <c:v>6.7860638987034854</c:v>
                </c:pt>
                <c:pt idx="7">
                  <c:v>8.5700294612585264</c:v>
                </c:pt>
                <c:pt idx="8">
                  <c:v>10.081097057263825</c:v>
                </c:pt>
                <c:pt idx="9">
                  <c:v>11.151888073872032</c:v>
                </c:pt>
                <c:pt idx="10">
                  <c:v>11.702819249022289</c:v>
                </c:pt>
                <c:pt idx="11">
                  <c:v>11.726798812050811</c:v>
                </c:pt>
                <c:pt idx="12">
                  <c:v>11.274115908631202</c:v>
                </c:pt>
                <c:pt idx="13">
                  <c:v>10.437523310046046</c:v>
                </c:pt>
                <c:pt idx="14">
                  <c:v>9.3375134067873731</c:v>
                </c:pt>
                <c:pt idx="15">
                  <c:v>8.1077874864897304</c:v>
                </c:pt>
                <c:pt idx="16">
                  <c:v>6.8809182961905657</c:v>
                </c:pt>
                <c:pt idx="17">
                  <c:v>5.7742058889237997</c:v>
                </c:pt>
                <c:pt idx="18">
                  <c:v>4.8757267546420779</c:v>
                </c:pt>
                <c:pt idx="19">
                  <c:v>4.2305762354699548</c:v>
                </c:pt>
                <c:pt idx="20">
                  <c:v>3.8273042252870626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17312"/>
        <c:axId val="29452160"/>
      </c:scatterChart>
      <c:valAx>
        <c:axId val="43917312"/>
        <c:scaling>
          <c:orientation val="minMax"/>
          <c:max val="24"/>
          <c:min val="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Tempo [ore]</a:t>
                </a:r>
              </a:p>
            </c:rich>
          </c:tx>
          <c:layout>
            <c:manualLayout>
              <c:xMode val="edge"/>
              <c:yMode val="edge"/>
              <c:x val="0.84094771534240043"/>
              <c:y val="0.9525593008739076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9452160"/>
        <c:crosses val="autoZero"/>
        <c:crossBetween val="midCat"/>
        <c:majorUnit val="2"/>
        <c:minorUnit val="1"/>
      </c:valAx>
      <c:valAx>
        <c:axId val="2945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Temperatura [°C]</a:t>
                </a:r>
              </a:p>
            </c:rich>
          </c:tx>
          <c:layout>
            <c:manualLayout>
              <c:xMode val="edge"/>
              <c:yMode val="edge"/>
              <c:x val="1.3257575757575758E-2"/>
              <c:y val="5.087498894098910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43917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List" dx="20" fmlaLink="Foglio3!$A$8" fmlaRange="Foglio3!$A$2:$A$6" val="0"/>
</file>

<file path=xl/ctrlProps/ctrlProp2.xml><?xml version="1.0" encoding="utf-8"?>
<formControlPr xmlns="http://schemas.microsoft.com/office/spreadsheetml/2009/9/main" objectType="List" dx="20" fmlaLink="Foglio3!$A$27" fmlaRange="Foglio3!$A$11:$A$25" sel="12" val="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1</xdr:row>
      <xdr:rowOff>60960</xdr:rowOff>
    </xdr:from>
    <xdr:to>
      <xdr:col>14</xdr:col>
      <xdr:colOff>541020</xdr:colOff>
      <xdr:row>36</xdr:row>
      <xdr:rowOff>144780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5</xdr:row>
          <xdr:rowOff>0</xdr:rowOff>
        </xdr:from>
        <xdr:to>
          <xdr:col>2</xdr:col>
          <xdr:colOff>502920</xdr:colOff>
          <xdr:row>5</xdr:row>
          <xdr:rowOff>396240</xdr:rowOff>
        </xdr:to>
        <xdr:sp macro="" textlink="">
          <xdr:nvSpPr>
            <xdr:cNvPr id="2053" name="List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28</xdr:row>
          <xdr:rowOff>0</xdr:rowOff>
        </xdr:from>
        <xdr:to>
          <xdr:col>2</xdr:col>
          <xdr:colOff>502920</xdr:colOff>
          <xdr:row>28</xdr:row>
          <xdr:rowOff>396240</xdr:rowOff>
        </xdr:to>
        <xdr:sp macro="" textlink="">
          <xdr:nvSpPr>
            <xdr:cNvPr id="2054" name="List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76200</xdr:colOff>
      <xdr:row>37</xdr:row>
      <xdr:rowOff>121920</xdr:rowOff>
    </xdr:from>
    <xdr:to>
      <xdr:col>14</xdr:col>
      <xdr:colOff>541020</xdr:colOff>
      <xdr:row>68</xdr:row>
      <xdr:rowOff>11430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U141"/>
  <sheetViews>
    <sheetView zoomScale="85" zoomScaleNormal="85" workbookViewId="0">
      <selection activeCell="I2" sqref="I2"/>
    </sheetView>
  </sheetViews>
  <sheetFormatPr defaultRowHeight="13.2" x14ac:dyDescent="0.25"/>
  <cols>
    <col min="1" max="1" width="13.44140625" bestFit="1" customWidth="1"/>
    <col min="2" max="2" width="12.88671875" customWidth="1"/>
    <col min="3" max="3" width="7" bestFit="1" customWidth="1"/>
    <col min="4" max="4" width="4.88671875" customWidth="1"/>
    <col min="5" max="5" width="11.44140625" bestFit="1" customWidth="1"/>
    <col min="6" max="6" width="13.44140625" bestFit="1" customWidth="1"/>
    <col min="8" max="8" width="11.5546875" bestFit="1" customWidth="1"/>
    <col min="9" max="9" width="8.6640625" customWidth="1"/>
  </cols>
  <sheetData>
    <row r="1" spans="1:14" x14ac:dyDescent="0.25">
      <c r="A1" s="3" t="s">
        <v>0</v>
      </c>
      <c r="B1" s="7">
        <f>Foglio2!B7</f>
        <v>0.96</v>
      </c>
      <c r="C1" s="3" t="s">
        <v>10</v>
      </c>
      <c r="D1" s="3"/>
      <c r="E1" s="7" t="s">
        <v>53</v>
      </c>
      <c r="F1" s="2">
        <f>0.92*LN(0.0000016663*(Foglio2!B30*Foglio2!B30*Foglio2!B31)^0.7719)+7.1</f>
        <v>3.3691405686695917</v>
      </c>
      <c r="G1" s="3"/>
      <c r="H1" s="3"/>
      <c r="I1" s="3"/>
      <c r="J1" s="3"/>
      <c r="K1" s="3"/>
      <c r="L1" s="3"/>
      <c r="M1" s="3"/>
      <c r="N1" s="3"/>
    </row>
    <row r="2" spans="1:14" x14ac:dyDescent="0.25">
      <c r="A2" s="3" t="s">
        <v>1</v>
      </c>
      <c r="B2" s="7">
        <f>Foglio2!B8</f>
        <v>775</v>
      </c>
      <c r="C2" s="3" t="s">
        <v>11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3" t="s">
        <v>2</v>
      </c>
      <c r="B3" s="7">
        <f>Foglio2!B9</f>
        <v>2500</v>
      </c>
      <c r="C3" s="3" t="s">
        <v>9</v>
      </c>
      <c r="D3" s="3"/>
      <c r="E3" s="3" t="s">
        <v>18</v>
      </c>
      <c r="F3" s="8">
        <f ca="1">(-0.00000004*(F4)*(F4))+(0.00007*(F4))+0.0242</f>
        <v>2.4505565641461849E-2</v>
      </c>
      <c r="G3" s="3" t="s">
        <v>28</v>
      </c>
      <c r="H3" s="3"/>
      <c r="I3" s="3"/>
      <c r="J3" s="3"/>
      <c r="K3" s="3"/>
      <c r="L3" s="3"/>
      <c r="M3" s="3"/>
      <c r="N3" s="3"/>
    </row>
    <row r="4" spans="1:14" x14ac:dyDescent="0.25">
      <c r="A4" s="3" t="s">
        <v>3</v>
      </c>
      <c r="B4" s="3">
        <f>Foglio2!B2</f>
        <v>19</v>
      </c>
      <c r="C4" s="3" t="s">
        <v>7</v>
      </c>
      <c r="D4" s="3"/>
      <c r="E4" s="3" t="s">
        <v>14</v>
      </c>
      <c r="F4" s="3">
        <f ca="1">(F33+F8)/2</f>
        <v>4.376166784153674</v>
      </c>
      <c r="G4" s="3" t="s">
        <v>8</v>
      </c>
      <c r="H4" s="3"/>
      <c r="I4" s="3"/>
      <c r="J4" s="3"/>
      <c r="K4" s="3"/>
      <c r="L4" s="3"/>
      <c r="M4" s="3"/>
      <c r="N4" s="3"/>
    </row>
    <row r="5" spans="1:14" x14ac:dyDescent="0.25">
      <c r="A5" s="3" t="s">
        <v>4</v>
      </c>
      <c r="B5" s="3">
        <f>Foglio2!B3</f>
        <v>415</v>
      </c>
      <c r="C5" s="3" t="s">
        <v>7</v>
      </c>
      <c r="D5" s="3"/>
      <c r="E5" s="3" t="s">
        <v>16</v>
      </c>
      <c r="F5" s="8">
        <f ca="1">101325*B10/(287.05*(F4+273.15))</f>
        <v>1.288441098316728</v>
      </c>
      <c r="G5" s="3" t="s">
        <v>9</v>
      </c>
      <c r="H5" s="3"/>
      <c r="I5" s="3"/>
      <c r="J5" s="3"/>
      <c r="K5" s="3"/>
      <c r="L5" s="3"/>
      <c r="M5" s="3"/>
      <c r="N5" s="3"/>
    </row>
    <row r="6" spans="1:14" x14ac:dyDescent="0.25">
      <c r="A6" s="3" t="s">
        <v>5</v>
      </c>
      <c r="B6" s="4">
        <f>Foglio2!B16+(0.6/15)*(Foglio2!B16-B7)</f>
        <v>15.12</v>
      </c>
      <c r="C6" s="3" t="s">
        <v>8</v>
      </c>
      <c r="D6" s="3"/>
      <c r="E6" s="3" t="s">
        <v>19</v>
      </c>
      <c r="F6" s="9">
        <f ca="1">((-0.000000009*(F4)*(F4))+(0.00004*(F4))+0.0168)/1000</f>
        <v>1.6974874313844641E-5</v>
      </c>
      <c r="G6" s="3"/>
      <c r="H6" s="3"/>
      <c r="I6" s="3"/>
      <c r="J6" s="3"/>
      <c r="K6" s="3"/>
      <c r="L6" s="3"/>
      <c r="M6" s="3"/>
      <c r="N6" s="3"/>
    </row>
    <row r="7" spans="1:14" x14ac:dyDescent="0.25">
      <c r="A7" s="3" t="s">
        <v>38</v>
      </c>
      <c r="B7" s="3">
        <f>Foglio2!B17</f>
        <v>12</v>
      </c>
      <c r="C7" s="3" t="s">
        <v>8</v>
      </c>
      <c r="D7" s="3"/>
      <c r="E7" s="3" t="s">
        <v>20</v>
      </c>
      <c r="F7" s="8">
        <f ca="1">1/(F4+273.15)</f>
        <v>3.6032638348576025E-3</v>
      </c>
      <c r="G7" s="3" t="s">
        <v>21</v>
      </c>
      <c r="H7" s="3"/>
      <c r="I7" s="3"/>
      <c r="J7" s="3"/>
      <c r="K7" s="3"/>
      <c r="L7" s="3"/>
      <c r="M7" s="3"/>
      <c r="N7" s="3"/>
    </row>
    <row r="8" spans="1:14" x14ac:dyDescent="0.25">
      <c r="A8" s="3" t="s">
        <v>39</v>
      </c>
      <c r="B8" s="3">
        <f>Foglio2!B18</f>
        <v>3</v>
      </c>
      <c r="C8" s="3" t="s">
        <v>8</v>
      </c>
      <c r="D8" s="3"/>
      <c r="E8" s="3" t="s">
        <v>40</v>
      </c>
      <c r="F8" s="6">
        <f ca="1">IF(Foglio2!B20=0,B7+(((B8-B7)/B11)*A17),((0.000000009989279499*B20^6-0.000006306045622*B20^5+0.000484825656*B20^4-0.01426446279*B20^3+0.17997837523*B20^2-0.8432145333*B20+1.3036332968)*(B7-B8))+B8)</f>
        <v>3.9433039045970846</v>
      </c>
      <c r="G8" s="3"/>
      <c r="H8" s="3"/>
      <c r="I8" s="3"/>
      <c r="J8" s="3"/>
      <c r="K8" s="3"/>
      <c r="L8" s="3"/>
      <c r="M8" s="3"/>
      <c r="N8" s="3"/>
    </row>
    <row r="9" spans="1:14" x14ac:dyDescent="0.25">
      <c r="A9" s="3" t="s">
        <v>6</v>
      </c>
      <c r="B9" s="3">
        <f>Foglio2!B12</f>
        <v>1006</v>
      </c>
      <c r="C9" s="3" t="s">
        <v>11</v>
      </c>
      <c r="D9" s="3"/>
      <c r="E9" s="3" t="s">
        <v>22</v>
      </c>
      <c r="F9" s="9">
        <f ca="1">IF(B14=0,H10,H9)</f>
        <v>137203.61269379852</v>
      </c>
      <c r="G9" s="3"/>
      <c r="H9" s="9">
        <f ca="1">ABS(($B$9*$F$6/$F$3)*((($B$5/4000)^3*$F$5*$F$5*9.81*($F$7*($F$33-$F$8)))/($F$6*$F$6)))</f>
        <v>137203.61269379852</v>
      </c>
      <c r="I9" s="3" t="s">
        <v>30</v>
      </c>
      <c r="J9" s="3"/>
      <c r="K9" s="3"/>
      <c r="L9" s="3"/>
      <c r="M9" s="3"/>
      <c r="N9" s="3"/>
    </row>
    <row r="10" spans="1:14" x14ac:dyDescent="0.25">
      <c r="A10" s="3" t="s">
        <v>17</v>
      </c>
      <c r="B10" s="3">
        <f>Foglio2!B13</f>
        <v>1.0129999999999999</v>
      </c>
      <c r="C10" s="3" t="s">
        <v>15</v>
      </c>
      <c r="D10" s="3"/>
      <c r="E10" s="3" t="s">
        <v>23</v>
      </c>
      <c r="F10" s="6">
        <f ca="1">IF(Foglio2!B32=0,IF(F9&gt;442000,0.829*F9^0.271,0.829*F9^0.285),0.7*0.55*(($B$9*$F$6/$F$3)^(1/3))*(F5*F1*(B5/1000)/F6)^0.5)</f>
        <v>24.138134973535415</v>
      </c>
      <c r="G10" s="3"/>
      <c r="H10" s="9">
        <f ca="1">ABS(($B$9*$F$6/$F$3)*((($B$5/4000)^3*$F$5*$F$5*9.81*($F$7*($E$33-$F$8)))/($F$6*$F$6)))</f>
        <v>137203.61269379852</v>
      </c>
      <c r="I10" s="3" t="s">
        <v>31</v>
      </c>
      <c r="J10" s="3"/>
      <c r="K10" s="3"/>
      <c r="L10" s="3"/>
      <c r="M10" s="3"/>
      <c r="N10" s="3"/>
    </row>
    <row r="11" spans="1:14" x14ac:dyDescent="0.25">
      <c r="A11" s="3" t="s">
        <v>35</v>
      </c>
      <c r="B11" s="3">
        <f>Foglio2!B26</f>
        <v>150</v>
      </c>
      <c r="C11" s="3" t="s">
        <v>33</v>
      </c>
      <c r="D11" s="3"/>
      <c r="E11" s="3" t="s">
        <v>24</v>
      </c>
      <c r="F11" s="2">
        <f ca="1">F10*F3/(B$5/4000)</f>
        <v>5.701384588495789</v>
      </c>
      <c r="G11" s="3" t="s">
        <v>25</v>
      </c>
      <c r="H11" s="3"/>
      <c r="I11" s="3"/>
      <c r="J11" s="3"/>
      <c r="L11" s="3"/>
      <c r="M11" s="3"/>
      <c r="N11" s="3"/>
    </row>
    <row r="12" spans="1:14" x14ac:dyDescent="0.25">
      <c r="A12" s="3" t="s">
        <v>41</v>
      </c>
      <c r="B12" s="3">
        <f>Foglio2!B10</f>
        <v>0</v>
      </c>
      <c r="C12" s="3"/>
      <c r="D12" s="3"/>
      <c r="E12" s="3" t="s">
        <v>26</v>
      </c>
      <c r="F12" s="3">
        <f ca="1">F11*(B$34/1000)/B$1</f>
        <v>1.1283990331397915E-2</v>
      </c>
      <c r="G12" s="3"/>
      <c r="H12" s="3"/>
      <c r="I12" s="3"/>
      <c r="J12" s="9"/>
      <c r="K12" s="3"/>
      <c r="L12" s="3"/>
      <c r="M12" s="3"/>
      <c r="N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 t="s">
        <v>32</v>
      </c>
      <c r="B14" s="3">
        <f>Foglio2!B34</f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 t="s">
        <v>29</v>
      </c>
      <c r="F15" s="3">
        <f ca="1">(-0.00000004*(F16)*(F16))+(0.00007*(F16))+0.0242</f>
        <v>2.4505523075043577E-2</v>
      </c>
      <c r="G15" s="3" t="s">
        <v>28</v>
      </c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 t="s">
        <v>14</v>
      </c>
      <c r="F16" s="3">
        <f ca="1">(F43+F8)/2</f>
        <v>4.3755556361224279</v>
      </c>
      <c r="G16" s="3" t="s">
        <v>8</v>
      </c>
      <c r="H16" s="3"/>
      <c r="I16" s="3"/>
      <c r="J16" s="3"/>
      <c r="K16" s="3"/>
      <c r="L16" s="3"/>
      <c r="M16" s="3"/>
      <c r="N16" s="3"/>
    </row>
    <row r="17" spans="1:21" x14ac:dyDescent="0.25">
      <c r="A17" s="2">
        <f ca="1">(A18*G27*B34*B34*B2*B3)/(B1*1000000*60)</f>
        <v>150.01477213541662</v>
      </c>
      <c r="B17" s="3" t="s">
        <v>33</v>
      </c>
      <c r="C17" s="3"/>
      <c r="D17" s="3"/>
      <c r="E17" s="3" t="s">
        <v>16</v>
      </c>
      <c r="F17" s="3">
        <f ca="1">101325*B10/(287.05*(F16+273.15))</f>
        <v>1.2884439356346782</v>
      </c>
      <c r="G17" s="3" t="s">
        <v>9</v>
      </c>
      <c r="H17" s="3"/>
      <c r="I17" s="3"/>
      <c r="J17" s="3"/>
      <c r="K17" s="3"/>
      <c r="L17" s="3"/>
      <c r="M17" s="3"/>
      <c r="N17" s="3"/>
    </row>
    <row r="18" spans="1:21" x14ac:dyDescent="0.25">
      <c r="A18" s="3">
        <f ca="1">IF(B14=0,0,IF(A17&gt;B11,A18,A18+1))</f>
        <v>8236</v>
      </c>
      <c r="B18" s="2" t="s">
        <v>34</v>
      </c>
      <c r="C18" s="3"/>
      <c r="D18" s="3"/>
      <c r="E18" s="3" t="s">
        <v>19</v>
      </c>
      <c r="F18" s="3">
        <f ca="1">((-0.000000009*(F16)*(F16))+(0.00004*(F16))+0.0168)/1000</f>
        <v>1.6974849916060772E-5</v>
      </c>
      <c r="G18" s="3"/>
      <c r="H18" s="3"/>
      <c r="I18" s="3"/>
      <c r="J18" s="3"/>
      <c r="K18" s="3"/>
      <c r="L18" s="3"/>
      <c r="M18" s="3"/>
      <c r="N18" s="3"/>
    </row>
    <row r="19" spans="1:21" x14ac:dyDescent="0.25">
      <c r="A19" s="3"/>
      <c r="B19" s="3"/>
      <c r="C19" s="3"/>
      <c r="D19" s="3"/>
      <c r="E19" s="3" t="s">
        <v>20</v>
      </c>
      <c r="F19" s="8">
        <f ca="1">1/(F16+273.15)</f>
        <v>3.6032717697218118E-3</v>
      </c>
      <c r="G19" s="3" t="s">
        <v>21</v>
      </c>
      <c r="H19" s="3"/>
      <c r="I19" s="3"/>
      <c r="J19" s="3"/>
      <c r="K19" s="3"/>
      <c r="L19" s="3"/>
      <c r="M19" s="3"/>
      <c r="N19" s="3"/>
    </row>
    <row r="20" spans="1:21" x14ac:dyDescent="0.25">
      <c r="A20" s="76" t="s">
        <v>86</v>
      </c>
      <c r="B20" s="2">
        <f ca="1">IF(((Foglio2!$B$19*24)+(A17/60))&lt;3,((Foglio2!$B$19*24)+(A17/60))+24,IF(((Foglio2!$B$19*24)+(A17/60))&gt;27,((Foglio2!$B$19*24)+(A17/60))-(B24*24),((Foglio2!$B$19*24)+(A17/60))))</f>
        <v>23.583579535590275</v>
      </c>
      <c r="C20" s="3"/>
      <c r="D20" s="3"/>
      <c r="E20" s="3" t="s">
        <v>22</v>
      </c>
      <c r="F20" s="9">
        <f ca="1">IF(B14=0,H21,H20)</f>
        <v>137011.23847938125</v>
      </c>
      <c r="G20" s="3"/>
      <c r="H20" s="3">
        <f ca="1">ABS(($B$9*$F$18/$F$15)*((($B$5/4000)^3*$F$17*$F$17*9.81*$F$19*($F$43-$F$8))/($F$18*$F$18)))</f>
        <v>137011.23847938125</v>
      </c>
      <c r="I20" s="3" t="s">
        <v>30</v>
      </c>
      <c r="J20" s="3"/>
      <c r="K20" s="3"/>
      <c r="L20" s="3"/>
      <c r="M20" s="3"/>
      <c r="N20" s="3"/>
    </row>
    <row r="21" spans="1:21" x14ac:dyDescent="0.25">
      <c r="A21" s="3"/>
      <c r="B21" s="3"/>
      <c r="C21" s="3"/>
      <c r="D21" s="3"/>
      <c r="E21" s="3" t="s">
        <v>23</v>
      </c>
      <c r="F21" s="6">
        <f ca="1">IF(Foglio2!B32=0,IF(F20&gt;442000,0.829*F20^0.271,0.829*F20^0.285),0.8*0.55*(($B$9*$F$18/$F$15)^(1/3))*(F17*F1*(B5/1000)/F18)^0.5)</f>
        <v>24.128484520634075</v>
      </c>
      <c r="G21" s="3"/>
      <c r="H21" s="3">
        <f ca="1">ABS(($B$9*$F$18/$F$15)*((($B$5/4000)^3*$F$17*$F$17*9.81*$F$19*($E$43-$F$8))/($F$18*$F$18)))</f>
        <v>137011.23847938125</v>
      </c>
      <c r="I21" s="3" t="s">
        <v>31</v>
      </c>
      <c r="J21" s="3"/>
      <c r="K21" s="3"/>
      <c r="L21" s="3"/>
      <c r="M21" s="3"/>
      <c r="N21" s="3"/>
    </row>
    <row r="22" spans="1:21" x14ac:dyDescent="0.25">
      <c r="A22" s="3"/>
      <c r="B22" s="3"/>
      <c r="C22" s="3"/>
      <c r="D22" s="3"/>
      <c r="E22" s="3" t="s">
        <v>24</v>
      </c>
      <c r="F22" s="2">
        <f ca="1">F21*F15/(B$5/4000)</f>
        <v>5.6990952692648689</v>
      </c>
      <c r="G22" s="3" t="s">
        <v>25</v>
      </c>
      <c r="H22" s="3"/>
      <c r="I22" s="3"/>
      <c r="J22" s="3"/>
      <c r="K22" s="3"/>
      <c r="L22" s="3"/>
      <c r="M22" s="3"/>
      <c r="N22" s="3"/>
    </row>
    <row r="23" spans="1:21" x14ac:dyDescent="0.25">
      <c r="A23" s="3"/>
      <c r="B23" s="6">
        <f ca="1">(((Foglio2!$B$19*24)+(A17/60))-3.5)/24</f>
        <v>0.83681581398292815</v>
      </c>
      <c r="C23" s="3"/>
      <c r="D23" s="3"/>
      <c r="E23" s="3" t="s">
        <v>26</v>
      </c>
      <c r="F23" s="3">
        <f ca="1">F22*(B$34/1000)/B$1</f>
        <v>1.1279459387086719E-2</v>
      </c>
      <c r="G23" s="3"/>
      <c r="H23" s="3"/>
      <c r="I23" s="3"/>
      <c r="J23" s="3"/>
      <c r="K23" s="3"/>
      <c r="L23" s="3"/>
      <c r="M23" s="3"/>
      <c r="N23" s="3"/>
    </row>
    <row r="24" spans="1:21" x14ac:dyDescent="0.25">
      <c r="A24" s="3"/>
      <c r="B24" s="6">
        <f ca="1">MIN(ODD(B23),EVEN(B23))-1</f>
        <v>0</v>
      </c>
      <c r="C24" s="3"/>
      <c r="D24" s="3"/>
      <c r="E24" s="3" t="s">
        <v>27</v>
      </c>
      <c r="F24" s="3">
        <f ca="1">1/(2*(F23+1))</f>
        <v>0.49442317389007245</v>
      </c>
      <c r="G24" s="3"/>
      <c r="H24" s="3"/>
      <c r="I24" s="3"/>
      <c r="J24" s="3"/>
      <c r="K24" s="3"/>
      <c r="L24" s="3"/>
      <c r="M24" s="3"/>
      <c r="N24" s="3"/>
    </row>
    <row r="25" spans="1:21" x14ac:dyDescent="0.25">
      <c r="A25" s="3"/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1" x14ac:dyDescent="0.25">
      <c r="A26" s="3"/>
      <c r="B26" s="4">
        <f ca="1">IF(((Foglio2!$B$19*24)+(A17/60))&lt;3,((Foglio2!$B$19*24)+(A17/60))+24,IF(((Foglio2!$B$19*24)+(A17/60))&gt;27,((Foglio2!$B$19*24)+(A17/60))-(B24*24),((Foglio2!$B$19*24)+(A17/60))))</f>
        <v>23.583579535590275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1" x14ac:dyDescent="0.25">
      <c r="B27" s="3"/>
      <c r="C27" s="3"/>
      <c r="D27" s="3"/>
      <c r="E27" s="3"/>
      <c r="F27" s="8" t="s">
        <v>13</v>
      </c>
      <c r="G27" s="10">
        <v>0.15</v>
      </c>
      <c r="H27" s="3"/>
      <c r="I27" s="3"/>
      <c r="J27" s="3"/>
      <c r="K27" s="3"/>
      <c r="L27" s="3"/>
      <c r="M27" s="3"/>
      <c r="N27" s="3"/>
    </row>
    <row r="28" spans="1:2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3"/>
      <c r="Q31" s="3"/>
      <c r="R31" s="3"/>
      <c r="T31" s="3"/>
      <c r="U31" s="3"/>
    </row>
    <row r="32" spans="1:21" x14ac:dyDescent="0.25">
      <c r="B32" s="3"/>
      <c r="C32" s="3"/>
      <c r="D32" s="3"/>
      <c r="E32" s="3" t="s">
        <v>5</v>
      </c>
      <c r="F32" s="3" t="s">
        <v>12</v>
      </c>
      <c r="G32" s="3"/>
      <c r="H32" s="3"/>
      <c r="I32" s="3"/>
      <c r="J32" s="3"/>
      <c r="K32" s="3"/>
      <c r="L32" s="3"/>
      <c r="M32" s="3"/>
      <c r="N32" s="3"/>
      <c r="P32" s="3"/>
      <c r="Q32" s="3"/>
      <c r="R32" s="3"/>
    </row>
    <row r="33" spans="1:19" x14ac:dyDescent="0.25">
      <c r="B33" s="3">
        <v>0</v>
      </c>
      <c r="C33" s="3"/>
      <c r="D33" s="3"/>
      <c r="E33" s="2">
        <f t="shared" ref="E33:E43" ca="1" si="0">IF($B$14=0,$B$6,F33)</f>
        <v>4.8090296637102634</v>
      </c>
      <c r="F33" s="2">
        <f ca="1">IF($A$17&gt;$B$11,F33,E33+(2*$G$27*(E34-E33+(F12*(F8-E33))-((0.6*B12*0.0000000567*B34/(1000*B1))*((E33+273.15)^4-(200^4))))))</f>
        <v>4.8090296637102634</v>
      </c>
      <c r="G33" s="2"/>
      <c r="H33" s="6">
        <f t="shared" ref="H33:H64" si="1">(K33*$G$27*$B$34*$B$34*$B$2*$B$3)/($B$1*1000000*60)</f>
        <v>3.6429036458333335E-2</v>
      </c>
      <c r="I33" s="5">
        <v>2</v>
      </c>
      <c r="J33" s="3">
        <f ca="1">IF($B$14=0,0,IF(K33=$A$18,$F$33,J33))</f>
        <v>15.001706633087187</v>
      </c>
      <c r="K33" s="5">
        <f>I33</f>
        <v>2</v>
      </c>
      <c r="L33" s="3">
        <f ca="1">IF($B$14=0,0,IF(K33=$A$18,$F$43,L33))</f>
        <v>15.027891759065174</v>
      </c>
      <c r="M33" s="3">
        <f ca="1">IF($B$14=0,0,IF(K33=$A$18,$F$37,M33))</f>
        <v>15.12</v>
      </c>
      <c r="N33" s="3"/>
      <c r="O33" s="3" t="str">
        <f ca="1">IF($B$14=0,0,IF(K33=$A$18,IF(ABS(((J33+L33+M33)/3)-$F$8)&lt;Foglio2!$B$22,H33,""),O33))</f>
        <v/>
      </c>
      <c r="P33" s="3"/>
      <c r="Q33" s="4">
        <v>0</v>
      </c>
      <c r="R33" s="4">
        <f>((0.000000009989279499*S33^6-0.000006306045622*S33^5+0.000484825656*S33^4-0.01426446279*S33^3+0.17997837523*S33^2-0.8432145333*S33+1.3036332968)*($B$7-$B$8))+$B$8</f>
        <v>3.8273042252868708</v>
      </c>
      <c r="S33" s="4">
        <f>IF(((Q33))&lt;3,((Q33))+24,((Q33)))</f>
        <v>24</v>
      </c>
    </row>
    <row r="34" spans="1:19" x14ac:dyDescent="0.25">
      <c r="B34" s="4">
        <f>B33+($B$4/10)</f>
        <v>1.9</v>
      </c>
      <c r="C34" s="3"/>
      <c r="D34" s="3"/>
      <c r="E34" s="2">
        <f t="shared" ca="1" si="0"/>
        <v>4.8177081742579277</v>
      </c>
      <c r="F34" s="3">
        <f ca="1">IF($A$17&gt;$B$11,F34,E34+($G$27*(E35+E33-2*(E34))))</f>
        <v>4.8177081742579277</v>
      </c>
      <c r="G34" s="2"/>
      <c r="H34" s="6">
        <f t="shared" si="1"/>
        <v>1.5664485677083333</v>
      </c>
      <c r="I34" s="5">
        <f>(I33+(($I$133-$I$33)/100))</f>
        <v>84.331889911536052</v>
      </c>
      <c r="J34" s="3">
        <f t="shared" ref="J34:J97" ca="1" si="2">IF($B$14=0,0,IF(K34=$A$18,$F$33,J34))</f>
        <v>14.458921768463535</v>
      </c>
      <c r="K34" s="3">
        <f>EVEN(I34)</f>
        <v>86</v>
      </c>
      <c r="L34" s="3">
        <f t="shared" ref="L34:L97" ca="1" si="3">IF($B$14=0,0,IF(K34=$A$18,$F$43,L34))</f>
        <v>14.455340243839803</v>
      </c>
      <c r="M34" s="3">
        <f t="shared" ref="M34:M97" ca="1" si="4">IF($B$14=0,0,IF(K34=$A$18,$F$37,M34))</f>
        <v>14.859389050606989</v>
      </c>
      <c r="N34" s="3"/>
      <c r="O34" s="3" t="str">
        <f ca="1">IF($B$14=0,0,IF(K34=$A$18,IF(ABS(((J34+L34+M34)/3)-$F$8)&lt;Foglio2!$B$22,H34,""),O34))</f>
        <v/>
      </c>
      <c r="P34" s="3"/>
      <c r="Q34" s="4">
        <f>Q33+24/20</f>
        <v>1.2</v>
      </c>
      <c r="R34" s="4">
        <f t="shared" ref="R34:R93" si="5">((0.000000009989279499*S34^6-0.000006306045622*S34^5+0.000484825656*S34^4-0.01426446279*S34^3+0.17997837523*S34^2-0.8432145333*S34+1.3036332968)*($B$7-$B$8))+$B$8</f>
        <v>3.5845441536419012</v>
      </c>
      <c r="S34" s="4">
        <f t="shared" ref="S34:S93" si="6">IF(((Q34))&lt;3,((Q34))+24,((Q34)))</f>
        <v>25.2</v>
      </c>
    </row>
    <row r="35" spans="1:19" x14ac:dyDescent="0.25">
      <c r="A35" s="3">
        <v>2</v>
      </c>
      <c r="B35" s="4">
        <f t="shared" ref="B35:B43" si="7">B34+($B$4/10)</f>
        <v>3.8</v>
      </c>
      <c r="C35" s="3"/>
      <c r="D35" s="3"/>
      <c r="E35" s="2">
        <f t="shared" ca="1" si="0"/>
        <v>4.8244456105217379</v>
      </c>
      <c r="F35" s="3">
        <f t="shared" ref="F35:F42" ca="1" si="8">IF($A$17&gt;$B$11,F35,E35+($G$27*(E36+E34-2*(E35))))</f>
        <v>4.8244456105217379</v>
      </c>
      <c r="G35" s="2"/>
      <c r="H35" s="6">
        <f t="shared" si="1"/>
        <v>3.0600390624999996</v>
      </c>
      <c r="I35" s="5">
        <f t="shared" ref="I35:I98" si="9">(I34+(($I$133-$I$33)/100))</f>
        <v>166.6637798230721</v>
      </c>
      <c r="J35" s="3">
        <f t="shared" ca="1" si="2"/>
        <v>14.124831348909613</v>
      </c>
      <c r="K35" s="3">
        <f t="shared" ref="K35:K98" si="10">EVEN(I35)</f>
        <v>168</v>
      </c>
      <c r="L35" s="3">
        <f t="shared" ca="1" si="3"/>
        <v>14.113121968056637</v>
      </c>
      <c r="M35" s="3">
        <f t="shared" ca="1" si="4"/>
        <v>14.508211793745794</v>
      </c>
      <c r="N35" s="3"/>
      <c r="O35" s="3" t="str">
        <f ca="1">IF($B$14=0,0,IF(K35=$A$18,IF(ABS(((J35+L35+M35)/3)-$F$8)&lt;Foglio2!$B$22,H35,""),O35))</f>
        <v/>
      </c>
      <c r="P35" s="3"/>
      <c r="Q35" s="4">
        <f t="shared" ref="Q35:Q72" si="11">Q34+24/20</f>
        <v>2.4</v>
      </c>
      <c r="R35" s="4">
        <f t="shared" si="5"/>
        <v>3.3378352539963752</v>
      </c>
      <c r="S35" s="4">
        <f t="shared" si="6"/>
        <v>26.4</v>
      </c>
    </row>
    <row r="36" spans="1:19" x14ac:dyDescent="0.25">
      <c r="A36" s="3">
        <v>3</v>
      </c>
      <c r="B36" s="4">
        <f t="shared" si="7"/>
        <v>5.6999999999999993</v>
      </c>
      <c r="C36" s="3"/>
      <c r="D36" s="3"/>
      <c r="E36" s="2">
        <f t="shared" ca="1" si="0"/>
        <v>4.8292303157061376</v>
      </c>
      <c r="F36" s="3">
        <f t="shared" ca="1" si="8"/>
        <v>4.8292303157061376</v>
      </c>
      <c r="G36" s="2"/>
      <c r="H36" s="6">
        <f t="shared" si="1"/>
        <v>4.553629557291667</v>
      </c>
      <c r="I36" s="5">
        <f t="shared" si="9"/>
        <v>248.99566973460816</v>
      </c>
      <c r="J36" s="3">
        <f t="shared" ca="1" si="2"/>
        <v>13.803839054170687</v>
      </c>
      <c r="K36" s="3">
        <f t="shared" si="10"/>
        <v>250</v>
      </c>
      <c r="L36" s="3">
        <f t="shared" ca="1" si="3"/>
        <v>13.789912066244446</v>
      </c>
      <c r="M36" s="3">
        <f t="shared" ca="1" si="4"/>
        <v>14.169835036350831</v>
      </c>
      <c r="N36" s="3"/>
      <c r="O36" s="3" t="str">
        <f ca="1">IF($B$14=0,0,IF(K36=$A$18,IF(ABS(((J36+L36+M36)/3)-$F$8)&lt;Foglio2!$B$22,H36,""),O36))</f>
        <v/>
      </c>
      <c r="P36" s="3"/>
      <c r="Q36" s="4">
        <f t="shared" si="11"/>
        <v>3.5999999999999996</v>
      </c>
      <c r="R36" s="4">
        <f t="shared" si="5"/>
        <v>3.1142888104448447</v>
      </c>
      <c r="S36" s="4">
        <f t="shared" si="6"/>
        <v>3.5999999999999996</v>
      </c>
    </row>
    <row r="37" spans="1:19" x14ac:dyDescent="0.25">
      <c r="A37" s="3">
        <v>4</v>
      </c>
      <c r="B37" s="4">
        <f t="shared" si="7"/>
        <v>7.6</v>
      </c>
      <c r="C37" s="3"/>
      <c r="D37" s="3"/>
      <c r="E37" s="2">
        <f t="shared" ca="1" si="0"/>
        <v>4.832054140856485</v>
      </c>
      <c r="F37" s="3">
        <f t="shared" ca="1" si="8"/>
        <v>4.832054140856485</v>
      </c>
      <c r="G37" s="2"/>
      <c r="H37" s="6">
        <f t="shared" si="1"/>
        <v>6.0472200520833326</v>
      </c>
      <c r="I37" s="5">
        <f t="shared" si="9"/>
        <v>331.32755964614421</v>
      </c>
      <c r="J37" s="3">
        <f t="shared" ca="1" si="2"/>
        <v>13.495486150783211</v>
      </c>
      <c r="K37" s="3">
        <f t="shared" si="10"/>
        <v>332</v>
      </c>
      <c r="L37" s="3">
        <f t="shared" ca="1" si="3"/>
        <v>13.481289908253961</v>
      </c>
      <c r="M37" s="3">
        <f t="shared" ca="1" si="4"/>
        <v>13.841753634276525</v>
      </c>
      <c r="N37" s="3"/>
      <c r="O37" s="3" t="str">
        <f ca="1">IF($B$14=0,0,IF(K37=$A$18,IF(ABS(((J37+L37+M37)/3)-$F$8)&lt;Foglio2!$B$22,H37,""),O37))</f>
        <v/>
      </c>
      <c r="P37" s="3"/>
      <c r="Q37" s="4">
        <f t="shared" si="11"/>
        <v>4.8</v>
      </c>
      <c r="R37" s="4">
        <f t="shared" si="5"/>
        <v>3.6011062259170092</v>
      </c>
      <c r="S37" s="4">
        <f t="shared" si="6"/>
        <v>4.8</v>
      </c>
    </row>
    <row r="38" spans="1:19" x14ac:dyDescent="0.25">
      <c r="A38" s="3">
        <v>5</v>
      </c>
      <c r="B38" s="4">
        <f t="shared" si="7"/>
        <v>9.5</v>
      </c>
      <c r="C38" s="3"/>
      <c r="D38" s="3"/>
      <c r="E38" s="2">
        <f t="shared" ca="1" si="0"/>
        <v>4.8329124648595769</v>
      </c>
      <c r="F38" s="3">
        <f t="shared" ca="1" si="8"/>
        <v>4.8329124648595769</v>
      </c>
      <c r="G38" s="2"/>
      <c r="H38" s="6">
        <f t="shared" si="1"/>
        <v>7.5408105468749991</v>
      </c>
      <c r="I38" s="5">
        <f t="shared" si="9"/>
        <v>413.65944955768026</v>
      </c>
      <c r="J38" s="3">
        <f t="shared" ca="1" si="2"/>
        <v>13.199735406422317</v>
      </c>
      <c r="K38" s="3">
        <f t="shared" si="10"/>
        <v>414</v>
      </c>
      <c r="L38" s="3">
        <f t="shared" ca="1" si="3"/>
        <v>13.185862327005262</v>
      </c>
      <c r="M38" s="3">
        <f t="shared" ca="1" si="4"/>
        <v>13.531341039827419</v>
      </c>
      <c r="N38" s="3"/>
      <c r="O38" s="3" t="str">
        <f ca="1">IF($B$14=0,0,IF(K38=$A$18,IF(ABS(((J38+L38+M38)/3)-$F$8)&lt;Foglio2!$B$22,H38,""),O38))</f>
        <v/>
      </c>
      <c r="P38" s="3"/>
      <c r="Q38" s="4">
        <f t="shared" si="11"/>
        <v>6</v>
      </c>
      <c r="R38" s="4">
        <f t="shared" si="5"/>
        <v>4.999871476952694</v>
      </c>
      <c r="S38" s="4">
        <f t="shared" si="6"/>
        <v>6</v>
      </c>
    </row>
    <row r="39" spans="1:19" x14ac:dyDescent="0.25">
      <c r="A39" s="3">
        <v>6</v>
      </c>
      <c r="B39" s="4">
        <f t="shared" si="7"/>
        <v>11.4</v>
      </c>
      <c r="C39" s="3"/>
      <c r="D39" s="3"/>
      <c r="E39" s="2">
        <f t="shared" ca="1" si="0"/>
        <v>4.831804205265775</v>
      </c>
      <c r="F39" s="3">
        <f t="shared" ca="1" si="8"/>
        <v>4.831804205265775</v>
      </c>
      <c r="G39" s="2"/>
      <c r="H39" s="6">
        <f t="shared" si="1"/>
        <v>9.0344010416666638</v>
      </c>
      <c r="I39" s="5">
        <f t="shared" si="9"/>
        <v>495.99133946921631</v>
      </c>
      <c r="J39" s="3">
        <f t="shared" ca="1" si="2"/>
        <v>12.916136424352469</v>
      </c>
      <c r="K39" s="3">
        <f t="shared" si="10"/>
        <v>496</v>
      </c>
      <c r="L39" s="3">
        <f t="shared" ca="1" si="3"/>
        <v>12.902752163919498</v>
      </c>
      <c r="M39" s="3">
        <f t="shared" ca="1" si="4"/>
        <v>13.23390862733334</v>
      </c>
      <c r="N39" s="3"/>
      <c r="O39" s="3" t="str">
        <f ca="1">IF($B$14=0,0,IF(K39=$A$18,IF(ABS(((J39+L39+M39)/3)-$F$8)&lt;Foglio2!$B$22,H39,""),O39))</f>
        <v/>
      </c>
      <c r="P39" s="3"/>
      <c r="Q39" s="4">
        <f t="shared" si="11"/>
        <v>7.2</v>
      </c>
      <c r="R39" s="4">
        <f t="shared" si="5"/>
        <v>6.7860638987034854</v>
      </c>
      <c r="S39" s="4">
        <f t="shared" si="6"/>
        <v>7.2</v>
      </c>
    </row>
    <row r="40" spans="1:19" x14ac:dyDescent="0.25">
      <c r="A40" s="3">
        <v>7</v>
      </c>
      <c r="B40" s="4">
        <f t="shared" si="7"/>
        <v>13.3</v>
      </c>
      <c r="C40" s="3"/>
      <c r="D40" s="3"/>
      <c r="E40" s="2">
        <f t="shared" ca="1" si="0"/>
        <v>4.8287318198994518</v>
      </c>
      <c r="F40" s="3">
        <f t="shared" ca="1" si="8"/>
        <v>4.8287318198994518</v>
      </c>
      <c r="G40" s="2"/>
      <c r="H40" s="6">
        <f t="shared" si="1"/>
        <v>10.564420572916665</v>
      </c>
      <c r="I40" s="5">
        <f t="shared" si="9"/>
        <v>578.32322938075231</v>
      </c>
      <c r="J40" s="3">
        <f t="shared" ca="1" si="2"/>
        <v>12.637633998414067</v>
      </c>
      <c r="K40" s="3">
        <f t="shared" si="10"/>
        <v>580</v>
      </c>
      <c r="L40" s="3">
        <f t="shared" ca="1" si="3"/>
        <v>12.624783724978398</v>
      </c>
      <c r="M40" s="3">
        <f t="shared" ca="1" si="4"/>
        <v>12.941996938555096</v>
      </c>
      <c r="N40" s="3"/>
      <c r="O40" s="3" t="str">
        <f ca="1">IF($B$14=0,0,IF(K40=$A$18,IF(ABS(((J40+L40+M40)/3)-$F$8)&lt;Foglio2!$B$22,H40,""),O40))</f>
        <v/>
      </c>
      <c r="P40" s="3"/>
      <c r="Q40" s="4">
        <f t="shared" si="11"/>
        <v>8.4</v>
      </c>
      <c r="R40" s="4">
        <f t="shared" si="5"/>
        <v>8.5700294612585264</v>
      </c>
      <c r="S40" s="4">
        <f t="shared" si="6"/>
        <v>8.4</v>
      </c>
    </row>
    <row r="41" spans="1:19" x14ac:dyDescent="0.25">
      <c r="A41" s="3">
        <v>8</v>
      </c>
      <c r="B41" s="4">
        <f t="shared" si="7"/>
        <v>15.200000000000001</v>
      </c>
      <c r="C41" s="3"/>
      <c r="D41" s="3"/>
      <c r="E41" s="2">
        <f t="shared" ca="1" si="0"/>
        <v>4.8237012992563439</v>
      </c>
      <c r="F41" s="3">
        <f t="shared" ca="1" si="8"/>
        <v>4.8237012992563439</v>
      </c>
      <c r="G41" s="2"/>
      <c r="H41" s="6">
        <f t="shared" si="1"/>
        <v>12.058011067708332</v>
      </c>
      <c r="I41" s="5">
        <f t="shared" si="9"/>
        <v>660.65511929228842</v>
      </c>
      <c r="J41" s="3">
        <f t="shared" ca="1" si="2"/>
        <v>12.376907907779065</v>
      </c>
      <c r="K41" s="3">
        <f t="shared" si="10"/>
        <v>662</v>
      </c>
      <c r="L41" s="3">
        <f t="shared" ca="1" si="3"/>
        <v>12.364570184993381</v>
      </c>
      <c r="M41" s="3">
        <f t="shared" ca="1" si="4"/>
        <v>12.668865598118739</v>
      </c>
      <c r="N41" s="3"/>
      <c r="O41" s="3" t="str">
        <f ca="1">IF($B$14=0,0,IF(K41=$A$18,IF(ABS(((J41+L41+M41)/3)-$F$8)&lt;Foglio2!$B$22,H41,""),O41))</f>
        <v/>
      </c>
      <c r="P41" s="3"/>
      <c r="Q41" s="4">
        <f t="shared" si="11"/>
        <v>9.6</v>
      </c>
      <c r="R41" s="4">
        <f t="shared" si="5"/>
        <v>10.081097057263825</v>
      </c>
      <c r="S41" s="4">
        <f t="shared" si="6"/>
        <v>9.6</v>
      </c>
    </row>
    <row r="42" spans="1:19" x14ac:dyDescent="0.25">
      <c r="A42" s="3">
        <v>9</v>
      </c>
      <c r="B42" s="4">
        <f t="shared" si="7"/>
        <v>17.100000000000001</v>
      </c>
      <c r="C42" s="3"/>
      <c r="D42" s="3"/>
      <c r="E42" s="2">
        <f t="shared" ca="1" si="0"/>
        <v>4.8167221497183217</v>
      </c>
      <c r="F42" s="3">
        <f t="shared" ca="1" si="8"/>
        <v>4.8167221497183217</v>
      </c>
      <c r="G42" s="2"/>
      <c r="H42" s="6">
        <f t="shared" si="1"/>
        <v>13.551601562499998</v>
      </c>
      <c r="I42" s="5">
        <f t="shared" si="9"/>
        <v>742.98700920382453</v>
      </c>
      <c r="J42" s="3">
        <f t="shared" ca="1" si="2"/>
        <v>12.126638168075376</v>
      </c>
      <c r="K42" s="3">
        <f t="shared" si="10"/>
        <v>744</v>
      </c>
      <c r="L42" s="3">
        <f t="shared" ca="1" si="3"/>
        <v>12.114792742747596</v>
      </c>
      <c r="M42" s="3">
        <f t="shared" ca="1" si="4"/>
        <v>12.406822320790409</v>
      </c>
      <c r="N42" s="3"/>
      <c r="O42" s="3" t="str">
        <f ca="1">IF($B$14=0,0,IF(K42=$A$18,IF(ABS(((J42+L42+M42)/3)-$F$8)&lt;Foglio2!$B$22,H42,""),O42))</f>
        <v/>
      </c>
      <c r="P42" s="3"/>
      <c r="Q42" s="4">
        <f t="shared" si="11"/>
        <v>10.799999999999999</v>
      </c>
      <c r="R42" s="4">
        <f t="shared" si="5"/>
        <v>11.151888073872032</v>
      </c>
      <c r="S42" s="4">
        <f t="shared" si="6"/>
        <v>10.799999999999999</v>
      </c>
    </row>
    <row r="43" spans="1:19" x14ac:dyDescent="0.25">
      <c r="A43" s="3">
        <v>10</v>
      </c>
      <c r="B43" s="4">
        <f t="shared" si="7"/>
        <v>19</v>
      </c>
      <c r="C43" s="3"/>
      <c r="D43" s="3"/>
      <c r="E43" s="2">
        <f t="shared" ca="1" si="0"/>
        <v>4.8078073676477722</v>
      </c>
      <c r="F43" s="3">
        <f ca="1">IF($A$17&gt;$B$11,F43,E43+(2*$G$27*(E42-E43+(F23*(F8-E43)))))</f>
        <v>4.8078073676477722</v>
      </c>
      <c r="G43" s="2"/>
      <c r="H43" s="6">
        <f t="shared" si="1"/>
        <v>15.045192057291667</v>
      </c>
      <c r="I43" s="5">
        <f t="shared" si="9"/>
        <v>825.31889911536064</v>
      </c>
      <c r="J43" s="3">
        <f t="shared" ca="1" si="2"/>
        <v>11.886302780485376</v>
      </c>
      <c r="K43" s="3">
        <f t="shared" si="10"/>
        <v>826</v>
      </c>
      <c r="L43" s="3">
        <f t="shared" ca="1" si="3"/>
        <v>11.872060720418109</v>
      </c>
      <c r="M43" s="3">
        <f t="shared" ca="1" si="4"/>
        <v>12.155306558798603</v>
      </c>
      <c r="N43" s="3"/>
      <c r="O43" s="3" t="str">
        <f ca="1">IF($B$14=0,0,IF(K43=$A$18,IF(ABS(((J43+L43+M43)/3)-$F$8)&lt;Foglio2!$B$22,H43,""),O43))</f>
        <v/>
      </c>
      <c r="P43" s="3"/>
      <c r="Q43" s="4">
        <f t="shared" si="11"/>
        <v>11.999999999999998</v>
      </c>
      <c r="R43" s="4">
        <f t="shared" si="5"/>
        <v>11.702819249022289</v>
      </c>
      <c r="S43" s="4">
        <f t="shared" si="6"/>
        <v>11.999999999999998</v>
      </c>
    </row>
    <row r="44" spans="1:19" x14ac:dyDescent="0.25">
      <c r="A44" s="3"/>
      <c r="B44" s="4"/>
      <c r="C44" s="3"/>
      <c r="D44" s="3"/>
      <c r="E44" s="2"/>
      <c r="F44" s="3"/>
      <c r="G44" s="2"/>
      <c r="H44" s="6">
        <f t="shared" si="1"/>
        <v>16.53878255208333</v>
      </c>
      <c r="I44" s="5">
        <f t="shared" si="9"/>
        <v>907.65078902689675</v>
      </c>
      <c r="J44" s="3">
        <f t="shared" ca="1" si="2"/>
        <v>11.655408807374078</v>
      </c>
      <c r="K44" s="3">
        <f t="shared" si="10"/>
        <v>908</v>
      </c>
      <c r="L44" s="3">
        <f t="shared" ca="1" si="3"/>
        <v>11.641725438666835</v>
      </c>
      <c r="M44" s="3">
        <f t="shared" ca="1" si="4"/>
        <v>11.913790282046273</v>
      </c>
      <c r="N44" s="3"/>
      <c r="O44" s="3" t="str">
        <f ca="1">IF($B$14=0,0,IF(K44=$A$18,IF(ABS(((J44+L44+M44)/3)-$F$8)&lt;Foglio2!$B$22,H44,""),O44))</f>
        <v/>
      </c>
      <c r="P44" s="3"/>
      <c r="Q44" s="4">
        <f t="shared" si="11"/>
        <v>13.199999999999998</v>
      </c>
      <c r="R44" s="4">
        <f t="shared" si="5"/>
        <v>11.726798812050811</v>
      </c>
      <c r="S44" s="4">
        <f t="shared" si="6"/>
        <v>13.199999999999998</v>
      </c>
    </row>
    <row r="45" spans="1:19" x14ac:dyDescent="0.25">
      <c r="A45" s="3"/>
      <c r="B45" s="4"/>
      <c r="C45" s="3"/>
      <c r="D45" s="3"/>
      <c r="E45" s="2"/>
      <c r="F45" s="3"/>
      <c r="G45" s="2"/>
      <c r="H45" s="6">
        <f t="shared" si="1"/>
        <v>18.032373046874998</v>
      </c>
      <c r="I45" s="5">
        <f t="shared" si="9"/>
        <v>989.98267893843285</v>
      </c>
      <c r="J45" s="3">
        <f t="shared" ca="1" si="2"/>
        <v>11.433491362987256</v>
      </c>
      <c r="K45" s="3">
        <f t="shared" si="10"/>
        <v>990</v>
      </c>
      <c r="L45" s="3">
        <f t="shared" ca="1" si="3"/>
        <v>11.420339417754656</v>
      </c>
      <c r="M45" s="3">
        <f t="shared" ca="1" si="4"/>
        <v>11.681776107366751</v>
      </c>
      <c r="N45" s="3"/>
      <c r="O45" s="3" t="str">
        <f ca="1">IF($B$14=0,0,IF(K45=$A$18,IF(ABS(((J45+L45+M45)/3)-$F$8)&lt;Foglio2!$B$22,H45,""),O45))</f>
        <v/>
      </c>
      <c r="P45" s="3"/>
      <c r="Q45" s="4">
        <f t="shared" si="11"/>
        <v>14.399999999999997</v>
      </c>
      <c r="R45" s="4">
        <f t="shared" si="5"/>
        <v>11.274115908631202</v>
      </c>
      <c r="S45" s="4">
        <f t="shared" si="6"/>
        <v>14.399999999999997</v>
      </c>
    </row>
    <row r="46" spans="1:19" x14ac:dyDescent="0.25">
      <c r="A46" s="3"/>
      <c r="B46" s="4"/>
      <c r="C46" s="3"/>
      <c r="D46" s="3"/>
      <c r="E46" s="2"/>
      <c r="F46" s="3"/>
      <c r="G46" s="2"/>
      <c r="H46" s="6">
        <f t="shared" si="1"/>
        <v>19.562392578124996</v>
      </c>
      <c r="I46" s="5">
        <f t="shared" si="9"/>
        <v>1072.314568849969</v>
      </c>
      <c r="J46" s="3">
        <f t="shared" ca="1" si="2"/>
        <v>11.215010826243565</v>
      </c>
      <c r="K46" s="3">
        <f t="shared" si="10"/>
        <v>1074</v>
      </c>
      <c r="L46" s="3">
        <f t="shared" ca="1" si="3"/>
        <v>11.202376495843255</v>
      </c>
      <c r="M46" s="3">
        <f t="shared" ca="1" si="4"/>
        <v>11.453465893695101</v>
      </c>
      <c r="N46" s="3"/>
      <c r="O46" s="3" t="str">
        <f ca="1">IF($B$14=0,0,IF(K46=$A$18,IF(ABS(((J46+L46+M46)/3)-$F$8)&lt;Foglio2!$B$22,H46,""),O46))</f>
        <v/>
      </c>
      <c r="P46" s="3"/>
      <c r="Q46" s="4">
        <f t="shared" si="11"/>
        <v>15.599999999999996</v>
      </c>
      <c r="R46" s="4">
        <f t="shared" si="5"/>
        <v>10.437523310046046</v>
      </c>
      <c r="S46" s="4">
        <f t="shared" si="6"/>
        <v>15.599999999999996</v>
      </c>
    </row>
    <row r="47" spans="1:19" x14ac:dyDescent="0.25">
      <c r="A47" s="3"/>
      <c r="B47" s="4"/>
      <c r="C47" s="3"/>
      <c r="D47" s="3"/>
      <c r="E47" s="2"/>
      <c r="F47" s="3"/>
      <c r="G47" s="2"/>
      <c r="H47" s="6">
        <f t="shared" si="1"/>
        <v>21.055983072916668</v>
      </c>
      <c r="I47" s="5">
        <f t="shared" si="9"/>
        <v>1154.6464587615051</v>
      </c>
      <c r="J47" s="3">
        <f t="shared" ca="1" si="2"/>
        <v>11.009949391950219</v>
      </c>
      <c r="K47" s="3">
        <f t="shared" si="10"/>
        <v>1156</v>
      </c>
      <c r="L47" s="3">
        <f t="shared" ca="1" si="3"/>
        <v>10.997795673630888</v>
      </c>
      <c r="M47" s="3">
        <f t="shared" ca="1" si="4"/>
        <v>11.239281070487035</v>
      </c>
      <c r="N47" s="3"/>
      <c r="O47" s="3" t="str">
        <f ca="1">IF($B$14=0,0,IF(K47=$A$18,IF(ABS(((J47+L47+M47)/3)-$F$8)&lt;Foglio2!$B$22,H47,""),O47))</f>
        <v/>
      </c>
      <c r="P47" s="3"/>
      <c r="Q47" s="4">
        <f t="shared" si="11"/>
        <v>16.799999999999997</v>
      </c>
      <c r="R47" s="4">
        <f t="shared" si="5"/>
        <v>9.3375134067873731</v>
      </c>
      <c r="S47" s="4">
        <f t="shared" si="6"/>
        <v>16.799999999999997</v>
      </c>
    </row>
    <row r="48" spans="1:19" x14ac:dyDescent="0.25">
      <c r="A48" s="3"/>
      <c r="B48" s="4"/>
      <c r="C48" s="3"/>
      <c r="D48" s="3"/>
      <c r="E48" s="2"/>
      <c r="F48" s="3"/>
      <c r="G48" s="2"/>
      <c r="H48" s="6">
        <f t="shared" si="1"/>
        <v>22.549573567708332</v>
      </c>
      <c r="I48" s="5">
        <f t="shared" si="9"/>
        <v>1236.9783486730412</v>
      </c>
      <c r="J48" s="3">
        <f t="shared" ca="1" si="2"/>
        <v>10.812613208901741</v>
      </c>
      <c r="K48" s="3">
        <f t="shared" si="10"/>
        <v>1238</v>
      </c>
      <c r="L48" s="3">
        <f t="shared" ca="1" si="3"/>
        <v>10.800917091194407</v>
      </c>
      <c r="M48" s="3">
        <f t="shared" ca="1" si="4"/>
        <v>11.03326141369522</v>
      </c>
      <c r="N48" s="3"/>
      <c r="O48" s="3" t="str">
        <f ca="1">IF($B$14=0,0,IF(K48=$A$18,IF(ABS(((J48+L48+M48)/3)-$F$8)&lt;Foglio2!$B$22,H48,""),O48))</f>
        <v/>
      </c>
      <c r="P48" s="3"/>
      <c r="Q48" s="4">
        <f t="shared" si="11"/>
        <v>17.999999999999996</v>
      </c>
      <c r="R48" s="4">
        <f t="shared" si="5"/>
        <v>8.1077874864897304</v>
      </c>
      <c r="S48" s="4">
        <f t="shared" si="6"/>
        <v>17.999999999999996</v>
      </c>
    </row>
    <row r="49" spans="1:19" x14ac:dyDescent="0.25">
      <c r="A49" s="3"/>
      <c r="B49" s="4"/>
      <c r="C49" s="3"/>
      <c r="D49" s="3"/>
      <c r="E49" s="2"/>
      <c r="F49" s="3"/>
      <c r="G49" s="2"/>
      <c r="H49" s="6">
        <f t="shared" si="1"/>
        <v>24.043164062500001</v>
      </c>
      <c r="I49" s="5">
        <f t="shared" si="9"/>
        <v>1319.3102385845773</v>
      </c>
      <c r="J49" s="3">
        <f t="shared" ca="1" si="2"/>
        <v>10.622634462724317</v>
      </c>
      <c r="K49" s="3">
        <f t="shared" si="10"/>
        <v>1320</v>
      </c>
      <c r="L49" s="3">
        <f t="shared" ca="1" si="3"/>
        <v>10.611374214170977</v>
      </c>
      <c r="M49" s="3">
        <f t="shared" ca="1" si="4"/>
        <v>10.835014382276958</v>
      </c>
      <c r="N49" s="3"/>
      <c r="O49" s="3" t="str">
        <f ca="1">IF($B$14=0,0,IF(K49=$A$18,IF(ABS(((J49+L49+M49)/3)-$F$8)&lt;Foglio2!$B$22,H49,""),O49))</f>
        <v/>
      </c>
      <c r="P49" s="3"/>
      <c r="Q49" s="4">
        <f t="shared" si="11"/>
        <v>19.199999999999996</v>
      </c>
      <c r="R49" s="4">
        <f t="shared" si="5"/>
        <v>6.8809182961905657</v>
      </c>
      <c r="S49" s="4">
        <f t="shared" si="6"/>
        <v>19.199999999999996</v>
      </c>
    </row>
    <row r="50" spans="1:19" x14ac:dyDescent="0.25">
      <c r="A50" s="3"/>
      <c r="B50" s="4"/>
      <c r="C50" s="3"/>
      <c r="D50" s="3"/>
      <c r="E50" s="2"/>
      <c r="F50" s="3"/>
      <c r="G50" s="2"/>
      <c r="H50" s="6">
        <f t="shared" si="1"/>
        <v>25.536754557291665</v>
      </c>
      <c r="I50" s="5">
        <f t="shared" si="9"/>
        <v>1401.6421284961134</v>
      </c>
      <c r="J50" s="3">
        <f t="shared" ca="1" si="2"/>
        <v>10.439665772173779</v>
      </c>
      <c r="K50" s="3">
        <f t="shared" si="10"/>
        <v>1402</v>
      </c>
      <c r="L50" s="3">
        <f t="shared" ca="1" si="3"/>
        <v>10.428820863249664</v>
      </c>
      <c r="M50" s="3">
        <f t="shared" ca="1" si="4"/>
        <v>10.644169437401859</v>
      </c>
      <c r="N50" s="3"/>
      <c r="O50" s="3" t="str">
        <f ca="1">IF($B$14=0,0,IF(K50=$A$18,IF(ABS(((J50+L50+M50)/3)-$F$8)&lt;Foglio2!$B$22,H50,""),O50))</f>
        <v/>
      </c>
      <c r="P50" s="3"/>
      <c r="Q50" s="4">
        <f t="shared" si="11"/>
        <v>20.399999999999995</v>
      </c>
      <c r="R50" s="4">
        <f t="shared" si="5"/>
        <v>5.7742058889237997</v>
      </c>
      <c r="S50" s="4">
        <f t="shared" si="6"/>
        <v>20.399999999999995</v>
      </c>
    </row>
    <row r="51" spans="1:19" x14ac:dyDescent="0.25">
      <c r="A51" s="3"/>
      <c r="B51" s="4"/>
      <c r="C51" s="3"/>
      <c r="D51" s="3"/>
      <c r="E51" s="2"/>
      <c r="F51" s="3"/>
      <c r="G51" s="2"/>
      <c r="H51" s="6">
        <f t="shared" si="1"/>
        <v>27.030345052083334</v>
      </c>
      <c r="I51" s="5">
        <f t="shared" si="9"/>
        <v>1483.9740184076495</v>
      </c>
      <c r="J51" s="3">
        <f t="shared" ca="1" si="2"/>
        <v>10.263378908580039</v>
      </c>
      <c r="K51" s="3">
        <f t="shared" si="10"/>
        <v>1484</v>
      </c>
      <c r="L51" s="3">
        <f t="shared" ca="1" si="3"/>
        <v>10.252929937386844</v>
      </c>
      <c r="M51" s="3">
        <f t="shared" ca="1" si="4"/>
        <v>10.460376650974831</v>
      </c>
      <c r="N51" s="3"/>
      <c r="O51" s="3" t="str">
        <f ca="1">IF($B$14=0,0,IF(K51=$A$18,IF(ABS(((J51+L51+M51)/3)-$F$8)&lt;Foglio2!$B$22,H51,""),O51))</f>
        <v/>
      </c>
      <c r="P51" s="3"/>
      <c r="Q51" s="4">
        <f t="shared" si="11"/>
        <v>21.599999999999994</v>
      </c>
      <c r="R51" s="4">
        <f t="shared" si="5"/>
        <v>4.8757267546420779</v>
      </c>
      <c r="S51" s="4">
        <f t="shared" si="6"/>
        <v>21.599999999999994</v>
      </c>
    </row>
    <row r="52" spans="1:19" x14ac:dyDescent="0.25">
      <c r="A52" s="3"/>
      <c r="B52" s="4"/>
      <c r="C52" s="3"/>
      <c r="D52" s="3"/>
      <c r="E52" s="2"/>
      <c r="F52" s="3"/>
      <c r="G52" s="2"/>
      <c r="H52" s="6">
        <f t="shared" si="1"/>
        <v>28.560364583333328</v>
      </c>
      <c r="I52" s="5">
        <f t="shared" si="9"/>
        <v>1566.3059083191856</v>
      </c>
      <c r="J52" s="3">
        <f t="shared" ca="1" si="2"/>
        <v>10.089396418323409</v>
      </c>
      <c r="K52" s="3">
        <f t="shared" si="10"/>
        <v>1568</v>
      </c>
      <c r="L52" s="3">
        <f t="shared" ca="1" si="3"/>
        <v>10.079334029838281</v>
      </c>
      <c r="M52" s="3">
        <f t="shared" ca="1" si="4"/>
        <v>10.279067900043101</v>
      </c>
      <c r="N52" s="3"/>
      <c r="O52" s="3" t="str">
        <f ca="1">IF($B$14=0,0,IF(K52=$A$18,IF(ABS(((J52+L52+M52)/3)-$F$8)&lt;Foglio2!$B$22,H52,""),O52))</f>
        <v/>
      </c>
      <c r="P52" s="3"/>
      <c r="Q52" s="4">
        <f t="shared" si="11"/>
        <v>22.799999999999994</v>
      </c>
      <c r="R52" s="4">
        <f t="shared" si="5"/>
        <v>4.2305762354699548</v>
      </c>
      <c r="S52" s="4">
        <f t="shared" si="6"/>
        <v>22.799999999999994</v>
      </c>
    </row>
    <row r="53" spans="1:19" x14ac:dyDescent="0.25">
      <c r="A53" s="3"/>
      <c r="B53" s="4"/>
      <c r="C53" s="3"/>
      <c r="D53" s="3"/>
      <c r="E53" s="2"/>
      <c r="F53" s="3"/>
      <c r="G53" s="2"/>
      <c r="H53" s="6">
        <f t="shared" si="1"/>
        <v>30.053955078124996</v>
      </c>
      <c r="I53" s="5">
        <f t="shared" si="9"/>
        <v>1648.6377982307217</v>
      </c>
      <c r="J53" s="3">
        <f t="shared" ca="1" si="2"/>
        <v>9.9257039718615125</v>
      </c>
      <c r="K53" s="3">
        <f t="shared" si="10"/>
        <v>1650</v>
      </c>
      <c r="L53" s="3">
        <f t="shared" ca="1" si="3"/>
        <v>9.9160014147422757</v>
      </c>
      <c r="M53" s="3">
        <f t="shared" ca="1" si="4"/>
        <v>10.108558268662973</v>
      </c>
      <c r="N53" s="3"/>
      <c r="O53" s="3" t="str">
        <f ca="1">IF($B$14=0,0,IF(K53=$A$18,IF(ABS(((J53+L53+M53)/3)-$F$8)&lt;Foglio2!$B$22,H53,""),O53))</f>
        <v/>
      </c>
      <c r="P53" s="3"/>
      <c r="Q53" s="4">
        <f t="shared" si="11"/>
        <v>23.999999999999993</v>
      </c>
      <c r="R53" s="4">
        <f t="shared" si="5"/>
        <v>3.8273042252870626</v>
      </c>
      <c r="S53" s="4">
        <f t="shared" si="6"/>
        <v>23.999999999999993</v>
      </c>
    </row>
    <row r="54" spans="1:19" x14ac:dyDescent="0.25">
      <c r="A54" s="3"/>
      <c r="B54" s="4"/>
      <c r="C54" s="3"/>
      <c r="D54" s="3"/>
      <c r="E54" s="2"/>
      <c r="F54" s="3"/>
      <c r="G54" s="2"/>
      <c r="H54" s="6">
        <f t="shared" si="1"/>
        <v>31.547545572916668</v>
      </c>
      <c r="I54" s="5">
        <f t="shared" si="9"/>
        <v>1730.9696881422578</v>
      </c>
      <c r="J54" s="3">
        <f t="shared" ca="1" si="2"/>
        <v>9.7678054842354172</v>
      </c>
      <c r="K54" s="3">
        <f t="shared" si="10"/>
        <v>1732</v>
      </c>
      <c r="L54" s="3">
        <f t="shared" ca="1" si="3"/>
        <v>9.7584463616080406</v>
      </c>
      <c r="M54" s="3">
        <f t="shared" ca="1" si="4"/>
        <v>9.9441551744775385</v>
      </c>
      <c r="N54" s="3"/>
      <c r="O54" s="3" t="str">
        <f ca="1">IF($B$14=0,0,IF(K54=$A$18,IF(ABS(((J54+L54+M54)/3)-$F$8)&lt;Foglio2!$B$22,H54,""),O54))</f>
        <v/>
      </c>
      <c r="P54" s="3"/>
      <c r="Q54" s="4"/>
      <c r="R54" s="4"/>
      <c r="S54" s="4"/>
    </row>
    <row r="55" spans="1:19" x14ac:dyDescent="0.25">
      <c r="A55" s="3"/>
      <c r="B55" s="4"/>
      <c r="C55" s="3"/>
      <c r="D55" s="3"/>
      <c r="E55" s="2"/>
      <c r="F55" s="3"/>
      <c r="G55" s="2"/>
      <c r="H55" s="6">
        <f t="shared" si="1"/>
        <v>33.041136067708322</v>
      </c>
      <c r="I55" s="5">
        <f t="shared" si="9"/>
        <v>1813.3015780537939</v>
      </c>
      <c r="J55" s="3">
        <f t="shared" ca="1" si="2"/>
        <v>9.6154385585542617</v>
      </c>
      <c r="K55" s="3">
        <f t="shared" si="10"/>
        <v>1814</v>
      </c>
      <c r="L55" s="3">
        <f t="shared" ca="1" si="3"/>
        <v>9.6064073478435947</v>
      </c>
      <c r="M55" s="3">
        <f t="shared" ca="1" si="4"/>
        <v>9.785579435226003</v>
      </c>
      <c r="N55" s="3"/>
      <c r="O55" s="3" t="str">
        <f ca="1">IF($B$14=0,0,IF(K55=$A$18,IF(ABS(((J55+L55+M55)/3)-$F$8)&lt;Foglio2!$B$22,H55,""),O55))</f>
        <v/>
      </c>
      <c r="P55" s="3"/>
      <c r="Q55" s="4"/>
      <c r="R55" s="4"/>
      <c r="S55" s="4"/>
    </row>
    <row r="56" spans="1:19" x14ac:dyDescent="0.25">
      <c r="A56" s="3"/>
      <c r="B56" s="4"/>
      <c r="C56" s="3"/>
      <c r="D56" s="3"/>
      <c r="E56" s="2"/>
      <c r="F56" s="3"/>
      <c r="G56" s="2"/>
      <c r="H56" s="6">
        <f t="shared" si="1"/>
        <v>34.534726562499991</v>
      </c>
      <c r="I56" s="5">
        <f t="shared" si="9"/>
        <v>1895.6334679653301</v>
      </c>
      <c r="J56" s="3">
        <f t="shared" ca="1" si="2"/>
        <v>9.4683547317018526</v>
      </c>
      <c r="K56" s="3">
        <f t="shared" si="10"/>
        <v>1896</v>
      </c>
      <c r="L56" s="3">
        <f t="shared" ca="1" si="3"/>
        <v>9.4596367319564365</v>
      </c>
      <c r="M56" s="3">
        <f t="shared" ca="1" si="4"/>
        <v>9.6325668212070887</v>
      </c>
      <c r="N56" s="3"/>
      <c r="O56" s="3" t="str">
        <f ca="1">IF($B$14=0,0,IF(K56=$A$18,IF(ABS(((J56+L56+M56)/3)-$F$8)&lt;Foglio2!$B$22,H56,""),O56))</f>
        <v/>
      </c>
      <c r="P56" s="3"/>
      <c r="Q56" s="4"/>
      <c r="R56" s="4"/>
      <c r="S56" s="4"/>
    </row>
    <row r="57" spans="1:19" x14ac:dyDescent="0.25">
      <c r="A57" s="3"/>
      <c r="B57" s="4"/>
      <c r="C57" s="3"/>
      <c r="D57" s="3"/>
      <c r="E57" s="2"/>
      <c r="F57" s="3"/>
      <c r="G57" s="2"/>
      <c r="H57" s="6">
        <f t="shared" si="1"/>
        <v>36.028317057291659</v>
      </c>
      <c r="I57" s="5">
        <f t="shared" si="9"/>
        <v>1977.9653578768662</v>
      </c>
      <c r="J57" s="3">
        <f t="shared" ca="1" si="2"/>
        <v>9.3263186377737188</v>
      </c>
      <c r="K57" s="3">
        <f t="shared" si="10"/>
        <v>1978</v>
      </c>
      <c r="L57" s="3">
        <f t="shared" ca="1" si="3"/>
        <v>9.3178999205136179</v>
      </c>
      <c r="M57" s="3">
        <f t="shared" ca="1" si="4"/>
        <v>9.4848671500478261</v>
      </c>
      <c r="N57" s="3"/>
      <c r="O57" s="3" t="str">
        <f ca="1">IF($B$14=0,0,IF(K57=$A$18,IF(ABS(((J57+L57+M57)/3)-$F$8)&lt;Foglio2!$B$22,H57,""),O57))</f>
        <v/>
      </c>
      <c r="P57" s="3"/>
      <c r="Q57" s="4"/>
      <c r="R57" s="4"/>
      <c r="S57" s="4"/>
    </row>
    <row r="58" spans="1:19" x14ac:dyDescent="0.25">
      <c r="A58" s="3"/>
      <c r="B58" s="4"/>
      <c r="C58" s="3"/>
      <c r="D58" s="3"/>
      <c r="E58" s="2"/>
      <c r="F58" s="3"/>
      <c r="G58" s="2"/>
      <c r="H58" s="6">
        <f t="shared" si="1"/>
        <v>37.558336588541664</v>
      </c>
      <c r="I58" s="5">
        <f t="shared" si="9"/>
        <v>2060.2972477884023</v>
      </c>
      <c r="J58" s="3">
        <f t="shared" ca="1" si="2"/>
        <v>9.1858190746347415</v>
      </c>
      <c r="K58" s="3">
        <f t="shared" si="10"/>
        <v>2062</v>
      </c>
      <c r="L58" s="3">
        <f t="shared" ca="1" si="3"/>
        <v>9.1776932564634457</v>
      </c>
      <c r="M58" s="3">
        <f t="shared" ca="1" si="4"/>
        <v>9.3388263094609432</v>
      </c>
      <c r="N58" s="3"/>
      <c r="O58" s="3" t="str">
        <f ca="1">IF($B$14=0,0,IF(K58=$A$18,IF(ABS(((J58+L58+M58)/3)-$F$8)&lt;Foglio2!$B$22,H58,""),O58))</f>
        <v/>
      </c>
      <c r="P58" s="3"/>
      <c r="Q58" s="4"/>
      <c r="R58" s="4"/>
      <c r="S58" s="4"/>
    </row>
    <row r="59" spans="1:19" x14ac:dyDescent="0.25">
      <c r="A59" s="3"/>
      <c r="B59" s="4"/>
      <c r="C59" s="3"/>
      <c r="D59" s="3"/>
      <c r="E59" s="2"/>
      <c r="F59" s="3"/>
      <c r="G59" s="2"/>
      <c r="H59" s="6">
        <f t="shared" si="1"/>
        <v>39.051927083333325</v>
      </c>
      <c r="I59" s="5">
        <f t="shared" si="9"/>
        <v>2142.6291376999384</v>
      </c>
      <c r="J59" s="3">
        <f t="shared" ca="1" si="2"/>
        <v>9.0533308547291895</v>
      </c>
      <c r="K59" s="3">
        <f t="shared" si="10"/>
        <v>2144</v>
      </c>
      <c r="L59" s="3">
        <f t="shared" ca="1" si="3"/>
        <v>9.0454783018582745</v>
      </c>
      <c r="M59" s="3">
        <f t="shared" ca="1" si="4"/>
        <v>9.2011696220845032</v>
      </c>
      <c r="N59" s="3"/>
      <c r="O59" s="3" t="str">
        <f ca="1">IF($B$14=0,0,IF(K59=$A$18,IF(ABS(((J59+L59+M59)/3)-$F$8)&lt;Foglio2!$B$22,H59,""),O59))</f>
        <v/>
      </c>
      <c r="P59" s="3"/>
      <c r="Q59" s="4"/>
      <c r="R59" s="4"/>
      <c r="S59" s="4"/>
    </row>
    <row r="60" spans="1:19" x14ac:dyDescent="0.25">
      <c r="A60" s="3"/>
      <c r="B60" s="4"/>
      <c r="C60" s="3"/>
      <c r="D60" s="3"/>
      <c r="E60" s="2"/>
      <c r="F60" s="3"/>
      <c r="G60" s="2"/>
      <c r="H60" s="6">
        <f t="shared" si="1"/>
        <v>40.545517578125001</v>
      </c>
      <c r="I60" s="5">
        <f t="shared" si="9"/>
        <v>2224.9610276114745</v>
      </c>
      <c r="J60" s="3">
        <f t="shared" ca="1" si="2"/>
        <v>8.9252505396178865</v>
      </c>
      <c r="K60" s="3">
        <f t="shared" si="10"/>
        <v>2226</v>
      </c>
      <c r="L60" s="3">
        <f t="shared" ca="1" si="3"/>
        <v>8.9176593927800791</v>
      </c>
      <c r="M60" s="3">
        <f t="shared" ca="1" si="4"/>
        <v>9.0681463962140185</v>
      </c>
      <c r="N60" s="3"/>
      <c r="O60" s="3" t="str">
        <f ca="1">IF($B$14=0,0,IF(K60=$A$18,IF(ABS(((J60+L60+M60)/3)-$F$8)&lt;Foglio2!$B$22,H60,""),O60))</f>
        <v/>
      </c>
      <c r="P60" s="3"/>
      <c r="Q60" s="4"/>
      <c r="R60" s="4"/>
      <c r="S60" s="4"/>
    </row>
    <row r="61" spans="1:19" x14ac:dyDescent="0.25">
      <c r="A61" s="3"/>
      <c r="B61" s="4"/>
      <c r="C61" s="3"/>
      <c r="D61" s="3"/>
      <c r="E61" s="2"/>
      <c r="F61" s="3"/>
      <c r="G61" s="2"/>
      <c r="H61" s="6">
        <f t="shared" si="1"/>
        <v>42.039108072916669</v>
      </c>
      <c r="I61" s="5">
        <f t="shared" si="9"/>
        <v>2307.2929175230106</v>
      </c>
      <c r="J61" s="3">
        <f t="shared" ca="1" si="2"/>
        <v>8.8013880861020919</v>
      </c>
      <c r="K61" s="3">
        <f t="shared" si="10"/>
        <v>2308</v>
      </c>
      <c r="L61" s="3">
        <f t="shared" ca="1" si="3"/>
        <v>8.7940470913852931</v>
      </c>
      <c r="M61" s="3">
        <f t="shared" ca="1" si="4"/>
        <v>8.9395549985152041</v>
      </c>
      <c r="N61" s="3"/>
      <c r="O61" s="3" t="str">
        <f ca="1">IF($B$14=0,0,IF(K61=$A$18,IF(ABS(((J61+L61+M61)/3)-$F$8)&lt;Foglio2!$B$22,H61,""),O61))</f>
        <v/>
      </c>
      <c r="P61" s="3"/>
      <c r="Q61" s="4"/>
      <c r="R61" s="4"/>
      <c r="S61" s="4"/>
    </row>
    <row r="62" spans="1:19" x14ac:dyDescent="0.25">
      <c r="A62" s="3"/>
      <c r="B62" s="4"/>
      <c r="C62" s="3"/>
      <c r="D62" s="3"/>
      <c r="E62" s="2"/>
      <c r="F62" s="3"/>
      <c r="G62" s="2"/>
      <c r="H62" s="6">
        <f t="shared" si="1"/>
        <v>43.53269856770833</v>
      </c>
      <c r="I62" s="5">
        <f t="shared" si="9"/>
        <v>2389.6248074345467</v>
      </c>
      <c r="J62" s="3">
        <f t="shared" ca="1" si="2"/>
        <v>8.6815631113738636</v>
      </c>
      <c r="K62" s="3">
        <f t="shared" si="10"/>
        <v>2390</v>
      </c>
      <c r="L62" s="3">
        <f t="shared" ca="1" si="3"/>
        <v>8.6744615852580296</v>
      </c>
      <c r="M62" s="3">
        <f t="shared" ca="1" si="4"/>
        <v>8.8152041301670856</v>
      </c>
      <c r="N62" s="3"/>
      <c r="O62" s="3" t="str">
        <f ca="1">IF($B$14=0,0,IF(K62=$A$18,IF(ABS(((J62+L62+M62)/3)-$F$8)&lt;Foglio2!$B$22,H62,""),O62))</f>
        <v/>
      </c>
      <c r="P62" s="3"/>
      <c r="Q62" s="4"/>
      <c r="R62" s="4"/>
      <c r="S62" s="4"/>
    </row>
    <row r="63" spans="1:19" x14ac:dyDescent="0.25">
      <c r="A63" s="3"/>
      <c r="B63" s="4"/>
      <c r="C63" s="3"/>
      <c r="D63" s="3"/>
      <c r="E63" s="2"/>
      <c r="F63" s="2"/>
      <c r="G63" s="2"/>
      <c r="H63" s="6">
        <f t="shared" si="1"/>
        <v>45.026289062499998</v>
      </c>
      <c r="I63" s="5">
        <f t="shared" si="9"/>
        <v>2471.9566973460828</v>
      </c>
      <c r="J63" s="3">
        <f t="shared" ca="1" si="2"/>
        <v>8.5656043370061283</v>
      </c>
      <c r="K63" s="3">
        <f t="shared" si="10"/>
        <v>2472</v>
      </c>
      <c r="L63" s="3">
        <f t="shared" ca="1" si="3"/>
        <v>8.5587321336455418</v>
      </c>
      <c r="M63" s="3">
        <f t="shared" ca="1" si="4"/>
        <v>8.6949122272529706</v>
      </c>
      <c r="N63" s="3"/>
      <c r="O63" s="3" t="str">
        <f ca="1">IF($B$14=0,0,IF(K63=$A$18,IF(ABS(((J63+L63+M63)/3)-$F$8)&lt;Foglio2!$B$22,H63,""),O63))</f>
        <v/>
      </c>
      <c r="P63" s="3"/>
      <c r="Q63" s="4"/>
      <c r="R63" s="4"/>
      <c r="S63" s="4"/>
    </row>
    <row r="64" spans="1:19" x14ac:dyDescent="0.25">
      <c r="A64" s="3"/>
      <c r="B64" s="3"/>
      <c r="C64" s="3"/>
      <c r="D64" s="3"/>
      <c r="E64" s="2"/>
      <c r="F64" s="3"/>
      <c r="G64" s="2"/>
      <c r="H64" s="6">
        <f t="shared" si="1"/>
        <v>46.556308593749989</v>
      </c>
      <c r="I64" s="5">
        <f t="shared" si="9"/>
        <v>2554.2885872576189</v>
      </c>
      <c r="J64" s="3">
        <f t="shared" ca="1" si="2"/>
        <v>8.4506560821242243</v>
      </c>
      <c r="K64" s="3">
        <f t="shared" si="10"/>
        <v>2556</v>
      </c>
      <c r="L64" s="3">
        <f t="shared" ca="1" si="3"/>
        <v>8.4440088045379529</v>
      </c>
      <c r="M64" s="3">
        <f t="shared" ca="1" si="4"/>
        <v>8.5757149013190848</v>
      </c>
      <c r="N64" s="3"/>
      <c r="O64" s="3" t="str">
        <f ca="1">IF($B$14=0,0,IF(K64=$A$18,IF(ABS(((J64+L64+M64)/3)-$F$8)&lt;Foglio2!$B$22,H64,""),O64))</f>
        <v/>
      </c>
      <c r="P64" s="3"/>
      <c r="Q64" s="4"/>
      <c r="R64" s="4"/>
      <c r="S64" s="4"/>
    </row>
    <row r="65" spans="1:19" x14ac:dyDescent="0.25">
      <c r="A65" s="3"/>
      <c r="B65" s="3"/>
      <c r="C65" s="3"/>
      <c r="D65" s="3"/>
      <c r="E65" s="2"/>
      <c r="F65" s="3"/>
      <c r="G65" s="2"/>
      <c r="H65" s="6">
        <f t="shared" ref="H65:H96" si="12">(K65*$G$27*$B$34*$B$34*$B$2*$B$3)/($B$1*1000000*60)</f>
        <v>48.049899088541657</v>
      </c>
      <c r="I65" s="5">
        <f t="shared" si="9"/>
        <v>2636.620477169155</v>
      </c>
      <c r="J65" s="3">
        <f t="shared" ca="1" si="2"/>
        <v>8.3420344144430114</v>
      </c>
      <c r="K65" s="3">
        <f t="shared" si="10"/>
        <v>2638</v>
      </c>
      <c r="L65" s="3">
        <f t="shared" ca="1" si="3"/>
        <v>8.3355974426823511</v>
      </c>
      <c r="M65" s="3">
        <f t="shared" ca="1" si="4"/>
        <v>8.4631212335143147</v>
      </c>
      <c r="N65" s="3"/>
      <c r="O65" s="3" t="str">
        <f ca="1">IF($B$14=0,0,IF(K65=$A$18,IF(ABS(((J65+L65+M65)/3)-$F$8)&lt;Foglio2!$B$22,H65,""),O65))</f>
        <v/>
      </c>
      <c r="P65" s="3"/>
      <c r="Q65" s="4"/>
      <c r="R65" s="4"/>
      <c r="S65" s="4"/>
    </row>
    <row r="66" spans="1:19" x14ac:dyDescent="0.25">
      <c r="A66" s="3"/>
      <c r="B66" s="3"/>
      <c r="C66" s="3"/>
      <c r="D66" s="3"/>
      <c r="E66" s="2"/>
      <c r="F66" s="3"/>
      <c r="G66" s="2"/>
      <c r="H66" s="6">
        <f t="shared" si="12"/>
        <v>49.543489583333333</v>
      </c>
      <c r="I66" s="5">
        <f t="shared" si="9"/>
        <v>2718.9523670806911</v>
      </c>
      <c r="J66" s="3">
        <f t="shared" ca="1" si="2"/>
        <v>8.2368112045474362</v>
      </c>
      <c r="K66" s="3">
        <f t="shared" si="10"/>
        <v>2720</v>
      </c>
      <c r="L66" s="3">
        <f t="shared" ca="1" si="3"/>
        <v>8.2305758403251446</v>
      </c>
      <c r="M66" s="3">
        <f t="shared" ca="1" si="4"/>
        <v>8.354091120053015</v>
      </c>
      <c r="N66" s="3"/>
      <c r="O66" s="3" t="str">
        <f ca="1">IF($B$14=0,0,IF(K66=$A$18,IF(ABS(((J66+L66+M66)/3)-$F$8)&lt;Foglio2!$B$22,H66,""),O66))</f>
        <v/>
      </c>
      <c r="P66" s="3"/>
      <c r="Q66" s="4"/>
      <c r="R66" s="4"/>
      <c r="S66" s="4"/>
    </row>
    <row r="67" spans="1:19" x14ac:dyDescent="0.25">
      <c r="A67" s="3"/>
      <c r="B67" s="3"/>
      <c r="C67" s="3"/>
      <c r="D67" s="3"/>
      <c r="E67" s="2"/>
      <c r="F67" s="3"/>
      <c r="G67" s="2"/>
      <c r="H67" s="6">
        <f t="shared" si="12"/>
        <v>51.037080078125001</v>
      </c>
      <c r="I67" s="5">
        <f t="shared" si="9"/>
        <v>2801.2842569922273</v>
      </c>
      <c r="J67" s="3">
        <f t="shared" ca="1" si="2"/>
        <v>8.1348468776916949</v>
      </c>
      <c r="K67" s="3">
        <f t="shared" si="10"/>
        <v>2802</v>
      </c>
      <c r="L67" s="3">
        <f t="shared" ca="1" si="3"/>
        <v>8.1288048483938518</v>
      </c>
      <c r="M67" s="3">
        <f t="shared" ca="1" si="4"/>
        <v>8.2484768566664375</v>
      </c>
      <c r="N67" s="3"/>
      <c r="O67" s="3" t="str">
        <f ca="1">IF($B$14=0,0,IF(K67=$A$18,IF(ABS(((J67+L67+M67)/3)-$F$8)&lt;Foglio2!$B$22,H67,""),O67))</f>
        <v/>
      </c>
      <c r="P67" s="3"/>
      <c r="Q67" s="4"/>
      <c r="R67" s="4"/>
      <c r="S67" s="4"/>
    </row>
    <row r="68" spans="1:19" x14ac:dyDescent="0.25">
      <c r="A68" s="3" t="s">
        <v>36</v>
      </c>
      <c r="B68" s="3" t="s">
        <v>37</v>
      </c>
      <c r="C68" s="3"/>
      <c r="D68" s="3"/>
      <c r="E68" s="2"/>
      <c r="F68" s="3"/>
      <c r="G68" s="2"/>
      <c r="H68" s="6">
        <f t="shared" si="12"/>
        <v>52.530670572916669</v>
      </c>
      <c r="I68" s="5">
        <f t="shared" si="9"/>
        <v>2883.6161469037634</v>
      </c>
      <c r="J68" s="3">
        <f t="shared" ca="1" si="2"/>
        <v>8.0360086606307419</v>
      </c>
      <c r="K68" s="3">
        <f t="shared" si="10"/>
        <v>2884</v>
      </c>
      <c r="L68" s="3">
        <f t="shared" ca="1" si="3"/>
        <v>8.0301520957166144</v>
      </c>
      <c r="M68" s="3">
        <f t="shared" ca="1" si="4"/>
        <v>8.1461379943356906</v>
      </c>
      <c r="N68" s="3"/>
      <c r="O68" s="3" t="str">
        <f ca="1">IF($B$14=0,0,IF(K68=$A$18,IF(ABS(((J68+L68+M68)/3)-$F$8)&lt;Foglio2!$B$22,H68,""),O68))</f>
        <v/>
      </c>
      <c r="P68" s="3"/>
      <c r="Q68" s="4"/>
      <c r="R68" s="4"/>
      <c r="S68" s="4"/>
    </row>
    <row r="69" spans="1:19" x14ac:dyDescent="0.25">
      <c r="A69" s="5">
        <f>H33</f>
        <v>3.6429036458333335E-2</v>
      </c>
      <c r="B69" s="6">
        <f>IF(Foglio2!$B$20=0,B7,((0.000000009989279499*C69^6-0.000006306045622*C69^5+0.000484825656*C69^4-0.01426446279*C69^3+0.17997837523*C69^2-0.8432145333*C69+1.3036332968)*($B$7-$B$8))+$B$8)</f>
        <v>5.2325591893859</v>
      </c>
      <c r="C69" s="3">
        <f>IF(((Foglio2!$B$19*24)+(A69/60))&lt;3,((Foglio2!$B$19*24)+(A69/60))+24,IF(((Foglio2!$B$19*24)+(A69/60))&gt;27,((Foglio2!$B$19*24)+(A69/60))-(E69*24),((Foglio2!$B$19*24)+(A69/60))))</f>
        <v>21.083940483940971</v>
      </c>
      <c r="D69" s="6">
        <f>B69+1</f>
        <v>6.2325591893859</v>
      </c>
      <c r="E69" s="2">
        <f>MIN(ODD((((Foglio2!$B$19*24)+(A69/60))-3.5)/24),EVEN((((Foglio2!$B$19*24)+(A69/60))-3.5)/24))-1</f>
        <v>0</v>
      </c>
      <c r="F69" s="3"/>
      <c r="G69" s="2"/>
      <c r="H69" s="6">
        <f t="shared" si="12"/>
        <v>54.024261067708323</v>
      </c>
      <c r="I69" s="5">
        <f t="shared" si="9"/>
        <v>2965.9480368152995</v>
      </c>
      <c r="J69" s="3">
        <f t="shared" ca="1" si="2"/>
        <v>7.9401702058233807</v>
      </c>
      <c r="K69" s="3">
        <f t="shared" si="10"/>
        <v>2966</v>
      </c>
      <c r="L69" s="3">
        <f t="shared" ca="1" si="3"/>
        <v>7.9344916146815851</v>
      </c>
      <c r="M69" s="3">
        <f t="shared" ca="1" si="4"/>
        <v>8.0469409353054644</v>
      </c>
      <c r="N69" s="3"/>
      <c r="O69" s="3" t="str">
        <f ca="1">IF($B$14=0,0,IF(K69=$A$18,IF(ABS(((J69+L69+M69)/3)-$F$8)&lt;Foglio2!$B$22,H69,""),O69))</f>
        <v/>
      </c>
      <c r="P69" s="3"/>
      <c r="Q69" s="4"/>
      <c r="R69" s="4"/>
      <c r="S69" s="4"/>
    </row>
    <row r="70" spans="1:19" x14ac:dyDescent="0.25">
      <c r="A70" s="6">
        <f>(($A$129-$A$69)/60)+A69</f>
        <v>2.5348537868923606</v>
      </c>
      <c r="B70" s="6">
        <f>IF(Foglio2!$B$20=0,(($B$129-$B$69)/60)+B69,((0.000000009989279499*C70^6-0.000006306045622*C70^5+0.000484825656*C70^4-0.01426446279*C70^3+0.17997837523*C70^2-0.8432145333*C70+1.3036332968)*($B$7-$B$8))+$B$8)</f>
        <v>5.2020508667887286</v>
      </c>
      <c r="C70" s="3">
        <f>IF(((Foglio2!$B$19*24)+(A70/60))&lt;3,((Foglio2!$B$19*24)+(A70/60))+24,IF(((Foglio2!$B$19*24)+(A70/60))&gt;27,((Foglio2!$B$19*24)+(A70/60))-(E70*24),((Foglio2!$B$19*24)+(A70/60))))</f>
        <v>21.125580896448206</v>
      </c>
      <c r="D70" s="6">
        <f t="shared" ref="D70:D129" si="13">B70+1</f>
        <v>6.2020508667887286</v>
      </c>
      <c r="E70" s="2">
        <f>MIN(ODD((((Foglio2!$B$19*24)+(A70/60))-3.5)/24),EVEN((((Foglio2!$B$19*24)+(A70/60))-3.5)/24))-1</f>
        <v>0</v>
      </c>
      <c r="F70" s="3"/>
      <c r="G70" s="2"/>
      <c r="H70" s="6">
        <f t="shared" si="12"/>
        <v>55.554280598958329</v>
      </c>
      <c r="I70" s="5">
        <f t="shared" si="9"/>
        <v>3048.2799267268356</v>
      </c>
      <c r="J70" s="3">
        <f t="shared" ca="1" si="2"/>
        <v>7.8449789421404796</v>
      </c>
      <c r="K70" s="3">
        <f t="shared" si="10"/>
        <v>3050</v>
      </c>
      <c r="L70" s="3">
        <f t="shared" ca="1" si="3"/>
        <v>7.8394752739994029</v>
      </c>
      <c r="M70" s="3">
        <f t="shared" ca="1" si="4"/>
        <v>7.9484492712078936</v>
      </c>
      <c r="N70" s="3"/>
      <c r="O70" s="3" t="str">
        <f ca="1">IF($B$14=0,0,IF(K70=$A$18,IF(ABS(((J70+L70+M70)/3)-$F$8)&lt;Foglio2!$B$22,H70,""),O70))</f>
        <v/>
      </c>
      <c r="P70" s="3"/>
      <c r="Q70" s="4"/>
      <c r="R70" s="4"/>
      <c r="S70" s="4"/>
    </row>
    <row r="71" spans="1:19" x14ac:dyDescent="0.25">
      <c r="A71" s="6">
        <f t="shared" ref="A71:A128" si="14">(($A$129-$A$69)/60)+A70</f>
        <v>5.033278537326388</v>
      </c>
      <c r="B71" s="6">
        <f>IF(Foglio2!$B$20=0,(($B$129-$B$69)/60)+B70,((0.000000009989279499*C71^6-0.000006306045622*C71^5+0.000484825656*C71^4-0.01426446279*C71^3+0.17997837523*C71^2-0.8432145333*C71+1.3036332968)*($B$7-$B$8))+$B$8)</f>
        <v>5.1718384830479538</v>
      </c>
      <c r="C71" s="3">
        <f>IF(((Foglio2!$B$19*24)+(A71/60))&lt;3,((Foglio2!$B$19*24)+(A71/60))+24,IF(((Foglio2!$B$19*24)+(A71/60))&gt;27,((Foglio2!$B$19*24)+(A71/60))-(E71*24),((Foglio2!$B$19*24)+(A71/60))))</f>
        <v>21.167221308955437</v>
      </c>
      <c r="D71" s="6">
        <f t="shared" si="13"/>
        <v>6.1718384830479538</v>
      </c>
      <c r="E71" s="2">
        <f>MIN(ODD((((Foglio2!$B$19*24)+(A71/60))-3.5)/24),EVEN((((Foglio2!$B$19*24)+(A71/60))-3.5)/24))-1</f>
        <v>0</v>
      </c>
      <c r="F71" s="3"/>
      <c r="G71" s="2"/>
      <c r="H71" s="6">
        <f t="shared" si="12"/>
        <v>57.04787109374999</v>
      </c>
      <c r="I71" s="5">
        <f t="shared" si="9"/>
        <v>3130.6118166383717</v>
      </c>
      <c r="J71" s="3">
        <f t="shared" ca="1" si="2"/>
        <v>7.7548509836940633</v>
      </c>
      <c r="K71" s="3">
        <f t="shared" si="10"/>
        <v>3132</v>
      </c>
      <c r="L71" s="3">
        <f t="shared" ca="1" si="3"/>
        <v>7.7495112044422889</v>
      </c>
      <c r="M71" s="3">
        <f t="shared" ca="1" si="4"/>
        <v>7.8552296741616141</v>
      </c>
      <c r="N71" s="3"/>
      <c r="O71" s="3" t="str">
        <f ca="1">IF($B$14=0,0,IF(K71=$A$18,IF(ABS(((J71+L71+M71)/3)-$F$8)&lt;Foglio2!$B$22,H71,""),O71))</f>
        <v/>
      </c>
      <c r="P71" s="3"/>
      <c r="Q71" s="4"/>
      <c r="R71" s="4"/>
      <c r="S71" s="4"/>
    </row>
    <row r="72" spans="1:19" x14ac:dyDescent="0.25">
      <c r="A72" s="6">
        <f t="shared" si="14"/>
        <v>7.5317032877604149</v>
      </c>
      <c r="B72" s="6">
        <f>IF(Foglio2!$B$20=0,(($B$129-$B$69)/60)+B71,((0.000000009989279499*C72^6-0.000006306045622*C72^5+0.000484825656*C72^4-0.01426446279*C72^3+0.17997837523*C72^2-0.8432145333*C72+1.3036332968)*($B$7-$B$8))+$B$8)</f>
        <v>5.1419237349744593</v>
      </c>
      <c r="C72" s="3">
        <f>IF(((Foglio2!$B$19*24)+(A72/60))&lt;3,((Foglio2!$B$19*24)+(A72/60))+24,IF(((Foglio2!$B$19*24)+(A72/60))&gt;27,((Foglio2!$B$19*24)+(A72/60))-(E72*24),((Foglio2!$B$19*24)+(A72/60))))</f>
        <v>21.208861721462672</v>
      </c>
      <c r="D72" s="6">
        <f t="shared" si="13"/>
        <v>6.1419237349744593</v>
      </c>
      <c r="E72" s="2">
        <f>MIN(ODD((((Foglio2!$B$19*24)+(A72/60))-3.5)/24),EVEN((((Foglio2!$B$19*24)+(A72/60))-3.5)/24))-1</f>
        <v>0</v>
      </c>
      <c r="F72" s="3"/>
      <c r="G72" s="2"/>
      <c r="H72" s="6">
        <f t="shared" si="12"/>
        <v>58.541461588541651</v>
      </c>
      <c r="I72" s="5">
        <f t="shared" si="9"/>
        <v>3212.9437065499078</v>
      </c>
      <c r="J72" s="3">
        <f t="shared" ca="1" si="2"/>
        <v>7.6673762829172416</v>
      </c>
      <c r="K72" s="3">
        <f t="shared" si="10"/>
        <v>3214</v>
      </c>
      <c r="L72" s="3">
        <f t="shared" ca="1" si="3"/>
        <v>7.662193929609213</v>
      </c>
      <c r="M72" s="3">
        <f t="shared" ca="1" si="4"/>
        <v>7.7647857795216479</v>
      </c>
      <c r="N72" s="3"/>
      <c r="O72" s="3" t="str">
        <f ca="1">IF($B$14=0,0,IF(K72=$A$18,IF(ABS(((J72+L72+M72)/3)-$F$8)&lt;Foglio2!$B$22,H72,""),O72))</f>
        <v/>
      </c>
      <c r="P72" s="3"/>
      <c r="Q72" s="4"/>
      <c r="R72" s="4"/>
      <c r="S72" s="4"/>
    </row>
    <row r="73" spans="1:19" x14ac:dyDescent="0.25">
      <c r="A73" s="6">
        <f t="shared" si="14"/>
        <v>10.030128038194443</v>
      </c>
      <c r="B73" s="6">
        <f>IF(Foglio2!$B$20=0,(($B$129-$B$69)/60)+B72,((0.000000009989279499*C73^6-0.000006306045622*C73^5+0.000484825656*C73^4-0.01426446279*C73^3+0.17997837523*C73^2-0.8432145333*C73+1.3036332968)*($B$7-$B$8))+$B$8)</f>
        <v>5.1123082444075481</v>
      </c>
      <c r="C73" s="3">
        <f>IF(((Foglio2!$B$19*24)+(A73/60))&lt;3,((Foglio2!$B$19*24)+(A73/60))+24,IF(((Foglio2!$B$19*24)+(A73/60))&gt;27,((Foglio2!$B$19*24)+(A73/60))-(E73*24),((Foglio2!$B$19*24)+(A73/60))))</f>
        <v>21.250502133969906</v>
      </c>
      <c r="D73" s="6">
        <f t="shared" si="13"/>
        <v>6.1123082444075481</v>
      </c>
      <c r="E73" s="2">
        <f>MIN(ODD((((Foglio2!$B$19*24)+(A73/60))-3.5)/24),EVEN((((Foglio2!$B$19*24)+(A73/60))-3.5)/24))-1</f>
        <v>0</v>
      </c>
      <c r="F73" s="3"/>
      <c r="G73" s="2"/>
      <c r="H73" s="6">
        <f t="shared" si="12"/>
        <v>60.035052083333319</v>
      </c>
      <c r="I73" s="5">
        <f t="shared" si="9"/>
        <v>3295.2755964614439</v>
      </c>
      <c r="J73" s="3">
        <f t="shared" ca="1" si="2"/>
        <v>7.5824509984791533</v>
      </c>
      <c r="K73" s="3">
        <f t="shared" si="10"/>
        <v>3296</v>
      </c>
      <c r="L73" s="3">
        <f t="shared" ca="1" si="3"/>
        <v>7.5774199118092547</v>
      </c>
      <c r="M73" s="3">
        <f t="shared" ca="1" si="4"/>
        <v>7.6770079603149766</v>
      </c>
      <c r="N73" s="3"/>
      <c r="O73" s="3" t="str">
        <f ca="1">IF($B$14=0,0,IF(K73=$A$18,IF(ABS(((J73+L73+M73)/3)-$F$8)&lt;Foglio2!$B$22,H73,""),O73))</f>
        <v/>
      </c>
      <c r="P73" s="3"/>
      <c r="Q73" s="4"/>
      <c r="R73" s="4"/>
      <c r="S73" s="4"/>
    </row>
    <row r="74" spans="1:19" x14ac:dyDescent="0.25">
      <c r="A74" s="6">
        <f t="shared" si="14"/>
        <v>12.52855278862847</v>
      </c>
      <c r="B74" s="6">
        <f>IF(Foglio2!$B$20=0,(($B$129-$B$69)/60)+B73,((0.000000009989279499*C74^6-0.000006306045622*C74^5+0.000484825656*C74^4-0.01426446279*C74^3+0.17997837523*C74^2-0.8432145333*C74+1.3036332968)*($B$7-$B$8))+$B$8)</f>
        <v>5.0829935575351337</v>
      </c>
      <c r="C74" s="3">
        <f>IF(((Foglio2!$B$19*24)+(A74/60))&lt;3,((Foglio2!$B$19*24)+(A74/60))+24,IF(((Foglio2!$B$19*24)+(A74/60))&gt;27,((Foglio2!$B$19*24)+(A74/60))-(E74*24),((Foglio2!$B$19*24)+(A74/60))))</f>
        <v>21.292142546477141</v>
      </c>
      <c r="D74" s="6">
        <f t="shared" si="13"/>
        <v>6.0829935575351337</v>
      </c>
      <c r="E74" s="2">
        <f>MIN(ODD((((Foglio2!$B$19*24)+(A74/60))-3.5)/24),EVEN((((Foglio2!$B$19*24)+(A74/60))-3.5)/24))-1</f>
        <v>0</v>
      </c>
      <c r="F74" s="3"/>
      <c r="G74" s="2"/>
      <c r="H74" s="6">
        <f t="shared" si="12"/>
        <v>61.528642578124995</v>
      </c>
      <c r="I74" s="5">
        <f t="shared" si="9"/>
        <v>3377.60748637298</v>
      </c>
      <c r="J74" s="3">
        <f t="shared" ca="1" si="2"/>
        <v>7.4999761464103027</v>
      </c>
      <c r="K74" s="3">
        <f t="shared" si="10"/>
        <v>3378</v>
      </c>
      <c r="L74" s="3">
        <f t="shared" ca="1" si="3"/>
        <v>7.4950904545304065</v>
      </c>
      <c r="M74" s="3">
        <f t="shared" ca="1" si="4"/>
        <v>7.5917917572518858</v>
      </c>
      <c r="N74" s="3"/>
      <c r="O74" s="3" t="str">
        <f ca="1">IF($B$14=0,0,IF(K74=$A$18,IF(ABS(((J74+L74+M74)/3)-$F$8)&lt;Foglio2!$B$22,H74,""),O74))</f>
        <v/>
      </c>
      <c r="P74" s="3"/>
      <c r="Q74" s="4"/>
      <c r="R74" s="4"/>
      <c r="S74" s="4"/>
    </row>
    <row r="75" spans="1:19" x14ac:dyDescent="0.25">
      <c r="A75" s="6">
        <f t="shared" si="14"/>
        <v>15.026977539062498</v>
      </c>
      <c r="B75" s="6">
        <f>IF(Foglio2!$B$20=0,(($B$129-$B$69)/60)+B74,((0.000000009989279499*C75^6-0.000006306045622*C75^5+0.000484825656*C75^4-0.01426446279*C75^3+0.17997837523*C75^2-0.8432145333*C75+1.3036332968)*($B$7-$B$8))+$B$8)</f>
        <v>5.0539811442125897</v>
      </c>
      <c r="C75" s="3">
        <f>IF(((Foglio2!$B$19*24)+(A75/60))&lt;3,((Foglio2!$B$19*24)+(A75/60))+24,IF(((Foglio2!$B$19*24)+(A75/60))&gt;27,((Foglio2!$B$19*24)+(A75/60))-(E75*24),((Foglio2!$B$19*24)+(A75/60))))</f>
        <v>21.333782958984372</v>
      </c>
      <c r="D75" s="6">
        <f t="shared" si="13"/>
        <v>6.0539811442125897</v>
      </c>
      <c r="E75" s="2">
        <f>MIN(ODD((((Foglio2!$B$19*24)+(A75/60))-3.5)/24),EVEN((((Foglio2!$B$19*24)+(A75/60))-3.5)/24))-1</f>
        <v>0</v>
      </c>
      <c r="F75" s="3"/>
      <c r="G75" s="2"/>
      <c r="H75" s="6">
        <f t="shared" si="12"/>
        <v>63.022233072916656</v>
      </c>
      <c r="I75" s="5">
        <f t="shared" si="9"/>
        <v>3459.9393762845161</v>
      </c>
      <c r="J75" s="3">
        <f t="shared" ca="1" si="2"/>
        <v>7.4198573421025129</v>
      </c>
      <c r="K75" s="3">
        <f t="shared" si="10"/>
        <v>3460</v>
      </c>
      <c r="L75" s="3">
        <f t="shared" ca="1" si="3"/>
        <v>7.4101950862855572</v>
      </c>
      <c r="M75" s="3">
        <f t="shared" ca="1" si="4"/>
        <v>7.5090376021869067</v>
      </c>
      <c r="N75" s="3"/>
      <c r="O75" s="3" t="str">
        <f ca="1">IF($B$14=0,0,IF(K75=$A$18,IF(ABS(((J75+L75+M75)/3)-$F$8)&lt;Foglio2!$B$22,H75,""),O75))</f>
        <v/>
      </c>
      <c r="P75" s="3"/>
      <c r="Q75" s="4"/>
      <c r="R75" s="4"/>
      <c r="S75" s="4"/>
    </row>
    <row r="76" spans="1:19" x14ac:dyDescent="0.25">
      <c r="A76" s="6">
        <f t="shared" si="14"/>
        <v>17.525402289496526</v>
      </c>
      <c r="B76" s="6">
        <f>IF(Foglio2!$B$20=0,(($B$129-$B$69)/60)+B75,((0.000000009989279499*C76^6-0.000006306045622*C76^5+0.000484825656*C76^4-0.01426446279*C76^3+0.17997837523*C76^2-0.8432145333*C76+1.3036332968)*($B$7-$B$8))+$B$8)</f>
        <v>5.0252723972830049</v>
      </c>
      <c r="C76" s="3">
        <f>IF(((Foglio2!$B$19*24)+(A76/60))&lt;3,((Foglio2!$B$19*24)+(A76/60))+24,IF(((Foglio2!$B$19*24)+(A76/60))&gt;27,((Foglio2!$B$19*24)+(A76/60))-(E76*24),((Foglio2!$B$19*24)+(A76/60))))</f>
        <v>21.375423371491607</v>
      </c>
      <c r="D76" s="6">
        <f t="shared" si="13"/>
        <v>6.0252723972830049</v>
      </c>
      <c r="E76" s="2">
        <f>MIN(ODD((((Foglio2!$B$19*24)+(A76/60))-3.5)/24),EVEN((((Foglio2!$B$19*24)+(A76/60))-3.5)/24))-1</f>
        <v>0</v>
      </c>
      <c r="F76" s="3"/>
      <c r="G76" s="2"/>
      <c r="H76" s="6">
        <f t="shared" si="12"/>
        <v>64.552252604166668</v>
      </c>
      <c r="I76" s="5">
        <f t="shared" si="9"/>
        <v>3542.2712661960522</v>
      </c>
      <c r="J76" s="3">
        <f t="shared" ca="1" si="2"/>
        <v>7.3139250637165043</v>
      </c>
      <c r="K76" s="3">
        <f t="shared" si="10"/>
        <v>3544</v>
      </c>
      <c r="L76" s="3">
        <f t="shared" ca="1" si="3"/>
        <v>7.3083528940892393</v>
      </c>
      <c r="M76" s="3">
        <f t="shared" ca="1" si="4"/>
        <v>7.4164339493867502</v>
      </c>
      <c r="N76" s="3"/>
      <c r="O76" s="3" t="str">
        <f ca="1">IF($B$14=0,0,IF(K76=$A$18,IF(ABS(((J76+L76+M76)/3)-$F$8)&lt;Foglio2!$B$22,H76,""),O76))</f>
        <v/>
      </c>
      <c r="P76" s="3"/>
      <c r="Q76" s="4"/>
      <c r="R76" s="4"/>
      <c r="S76" s="4"/>
    </row>
    <row r="77" spans="1:19" x14ac:dyDescent="0.25">
      <c r="A77" s="6">
        <f t="shared" si="14"/>
        <v>20.023827039930552</v>
      </c>
      <c r="B77" s="6">
        <f>IF(Foglio2!$B$20=0,(($B$129-$B$69)/60)+B76,((0.000000009989279499*C77^6-0.000006306045622*C77^5+0.000484825656*C77^4-0.01426446279*C77^3+0.17997837523*C77^2-0.8432145333*C77+1.3036332968)*($B$7-$B$8))+$B$8)</f>
        <v>4.9968686318968318</v>
      </c>
      <c r="C77" s="3">
        <f>IF(((Foglio2!$B$19*24)+(A77/60))&lt;3,((Foglio2!$B$19*24)+(A77/60))+24,IF(((Foglio2!$B$19*24)+(A77/60))&gt;27,((Foglio2!$B$19*24)+(A77/60))-(E77*24),((Foglio2!$B$19*24)+(A77/60))))</f>
        <v>21.417063783998842</v>
      </c>
      <c r="D77" s="6">
        <f t="shared" si="13"/>
        <v>5.9968686318968318</v>
      </c>
      <c r="E77" s="2">
        <f>MIN(ODD((((Foglio2!$B$19*24)+(A77/60))-3.5)/24),EVEN((((Foglio2!$B$19*24)+(A77/60))-3.5)/24))-1</f>
        <v>0</v>
      </c>
      <c r="F77" s="3"/>
      <c r="G77" s="2"/>
      <c r="H77" s="6">
        <f t="shared" si="12"/>
        <v>66.045843098958315</v>
      </c>
      <c r="I77" s="5">
        <f t="shared" si="9"/>
        <v>3624.6031561075883</v>
      </c>
      <c r="J77" s="3">
        <f t="shared" ca="1" si="2"/>
        <v>7.224982367182438</v>
      </c>
      <c r="K77" s="3">
        <f t="shared" si="10"/>
        <v>3626</v>
      </c>
      <c r="L77" s="3">
        <f t="shared" ca="1" si="3"/>
        <v>7.2197037384432408</v>
      </c>
      <c r="M77" s="3">
        <f t="shared" ca="1" si="4"/>
        <v>7.3241167712195407</v>
      </c>
      <c r="N77" s="3"/>
      <c r="O77" s="3" t="str">
        <f ca="1">IF($B$14=0,0,IF(K77=$A$18,IF(ABS(((J77+L77+M77)/3)-$F$8)&lt;Foglio2!$B$22,H77,""),O77))</f>
        <v/>
      </c>
      <c r="P77" s="3"/>
      <c r="Q77" s="4"/>
      <c r="R77" s="4"/>
      <c r="S77" s="4"/>
    </row>
    <row r="78" spans="1:19" x14ac:dyDescent="0.25">
      <c r="A78" s="6">
        <f t="shared" si="14"/>
        <v>22.522251790364578</v>
      </c>
      <c r="B78" s="6">
        <f>IF(Foglio2!$B$20=0,(($B$129-$B$69)/60)+B77,((0.000000009989279499*C78^6-0.000006306045622*C78^5+0.000484825656*C78^4-0.01426446279*C78^3+0.17997837523*C78^2-0.8432145333*C78+1.3036332968)*($B$7-$B$8))+$B$8)</f>
        <v>4.9687710848316309</v>
      </c>
      <c r="C78" s="3">
        <f>IF(((Foglio2!$B$19*24)+(A78/60))&lt;3,((Foglio2!$B$19*24)+(A78/60))+24,IF(((Foglio2!$B$19*24)+(A78/60))&gt;27,((Foglio2!$B$19*24)+(A78/60))-(E78*24),((Foglio2!$B$19*24)+(A78/60))))</f>
        <v>21.458704196506076</v>
      </c>
      <c r="D78" s="6">
        <f t="shared" si="13"/>
        <v>5.9687710848316309</v>
      </c>
      <c r="E78" s="2">
        <f>MIN(ODD((((Foglio2!$B$19*24)+(A78/60))-3.5)/24),EVEN((((Foglio2!$B$19*24)+(A78/60))-3.5)/24))-1</f>
        <v>0</v>
      </c>
      <c r="F78" s="3"/>
      <c r="G78" s="2"/>
      <c r="H78" s="6">
        <f t="shared" si="12"/>
        <v>67.53943359374999</v>
      </c>
      <c r="I78" s="5">
        <f t="shared" si="9"/>
        <v>3706.9350460191245</v>
      </c>
      <c r="J78" s="3">
        <f t="shared" ca="1" si="2"/>
        <v>7.1391998875291707</v>
      </c>
      <c r="K78" s="3">
        <f t="shared" si="10"/>
        <v>3708</v>
      </c>
      <c r="L78" s="3">
        <f t="shared" ca="1" si="3"/>
        <v>7.1341271609367087</v>
      </c>
      <c r="M78" s="3">
        <f t="shared" ca="1" si="4"/>
        <v>7.2349382935930855</v>
      </c>
      <c r="N78" s="3"/>
      <c r="O78" s="3" t="str">
        <f ca="1">IF($B$14=0,0,IF(K78=$A$18,IF(ABS(((J78+L78+M78)/3)-$F$8)&lt;Foglio2!$B$22,H78,""),O78))</f>
        <v/>
      </c>
      <c r="P78" s="3"/>
      <c r="Q78" s="4"/>
      <c r="R78" s="4"/>
      <c r="S78" s="4"/>
    </row>
    <row r="79" spans="1:19" x14ac:dyDescent="0.25">
      <c r="A79" s="6">
        <f t="shared" si="14"/>
        <v>25.020676540798604</v>
      </c>
      <c r="B79" s="6">
        <f>IF(Foglio2!$B$20=0,(($B$129-$B$69)/60)+B78,((0.000000009989279499*C79^6-0.000006306045622*C79^5+0.000484825656*C79^4-0.01426446279*C79^3+0.17997837523*C79^2-0.8432145333*C79+1.3036332968)*($B$7-$B$8))+$B$8)</f>
        <v>4.9409809138145002</v>
      </c>
      <c r="C79" s="3">
        <f>IF(((Foglio2!$B$19*24)+(A79/60))&lt;3,((Foglio2!$B$19*24)+(A79/60))+24,IF(((Foglio2!$B$19*24)+(A79/60))&gt;27,((Foglio2!$B$19*24)+(A79/60))-(E79*24),((Foglio2!$B$19*24)+(A79/60))))</f>
        <v>21.500344609013307</v>
      </c>
      <c r="D79" s="6">
        <f t="shared" si="13"/>
        <v>5.9409809138145002</v>
      </c>
      <c r="E79" s="2">
        <f>MIN(ODD((((Foglio2!$B$19*24)+(A79/60))-3.5)/24),EVEN((((Foglio2!$B$19*24)+(A79/60))-3.5)/24))-1</f>
        <v>0</v>
      </c>
      <c r="F79" s="3"/>
      <c r="G79" s="2"/>
      <c r="H79" s="6">
        <f t="shared" si="12"/>
        <v>69.033024088541666</v>
      </c>
      <c r="I79" s="5">
        <f t="shared" si="9"/>
        <v>3789.2669359306606</v>
      </c>
      <c r="J79" s="3">
        <f t="shared" ca="1" si="2"/>
        <v>7.0563239214181221</v>
      </c>
      <c r="K79" s="3">
        <f t="shared" si="10"/>
        <v>3790</v>
      </c>
      <c r="L79" s="3">
        <f t="shared" ca="1" si="3"/>
        <v>7.0514307180653528</v>
      </c>
      <c r="M79" s="3">
        <f t="shared" ca="1" si="4"/>
        <v>7.1488139486343805</v>
      </c>
      <c r="N79" s="3"/>
      <c r="O79" s="3" t="str">
        <f ca="1">IF($B$14=0,0,IF(K79=$A$18,IF(ABS(((J79+L79+M79)/3)-$F$8)&lt;Foglio2!$B$22,H79,""),O79))</f>
        <v/>
      </c>
      <c r="P79" s="3"/>
      <c r="Q79" s="4"/>
      <c r="R79" s="4"/>
      <c r="S79" s="4"/>
    </row>
    <row r="80" spans="1:19" x14ac:dyDescent="0.25">
      <c r="A80" s="6">
        <f t="shared" si="14"/>
        <v>27.51910129123263</v>
      </c>
      <c r="B80" s="6">
        <f>IF(Foglio2!$B$20=0,(($B$129-$B$69)/60)+B79,((0.000000009989279499*C80^6-0.000006306045622*C80^5+0.000484825656*C80^4-0.01426446279*C80^3+0.17997837523*C80^2-0.8432145333*C80+1.3036332968)*($B$7-$B$8))+$B$8)</f>
        <v>4.9134991968429071</v>
      </c>
      <c r="C80" s="3">
        <f>IF(((Foglio2!$B$19*24)+(A80/60))&lt;3,((Foglio2!$B$19*24)+(A80/60))+24,IF(((Foglio2!$B$19*24)+(A80/60))&gt;27,((Foglio2!$B$19*24)+(A80/60))-(E80*24),((Foglio2!$B$19*24)+(A80/60))))</f>
        <v>21.541985021520542</v>
      </c>
      <c r="D80" s="6">
        <f t="shared" si="13"/>
        <v>5.9134991968429071</v>
      </c>
      <c r="E80" s="2">
        <f>MIN(ODD((((Foglio2!$B$19*24)+(A80/60))-3.5)/24),EVEN((((Foglio2!$B$19*24)+(A80/60))-3.5)/24))-1</f>
        <v>0</v>
      </c>
      <c r="F80" s="3"/>
      <c r="G80" s="2"/>
      <c r="H80" s="6">
        <f t="shared" si="12"/>
        <v>70.526614583333327</v>
      </c>
      <c r="I80" s="5">
        <f t="shared" si="9"/>
        <v>3871.5988258421967</v>
      </c>
      <c r="J80" s="3">
        <f t="shared" ca="1" si="2"/>
        <v>6.9762161063471897</v>
      </c>
      <c r="K80" s="3">
        <f t="shared" si="10"/>
        <v>3872</v>
      </c>
      <c r="L80" s="3">
        <f t="shared" ca="1" si="3"/>
        <v>6.971488990860915</v>
      </c>
      <c r="M80" s="3">
        <f t="shared" ca="1" si="4"/>
        <v>7.0656032659686003</v>
      </c>
      <c r="N80" s="3"/>
      <c r="O80" s="3" t="str">
        <f ca="1">IF($B$14=0,0,IF(K80=$A$18,IF(ABS(((J80+L80+M80)/3)-$F$8)&lt;Foglio2!$B$22,H80,""),O80))</f>
        <v/>
      </c>
      <c r="P80" s="3"/>
      <c r="Q80" s="4"/>
      <c r="R80" s="4"/>
      <c r="S80" s="4"/>
    </row>
    <row r="81" spans="1:19" x14ac:dyDescent="0.25">
      <c r="A81" s="6">
        <f t="shared" si="14"/>
        <v>30.017526041666656</v>
      </c>
      <c r="B81" s="6">
        <f>IF(Foglio2!$B$20=0,(($B$129-$B$69)/60)+B80,((0.000000009989279499*C81^6-0.000006306045622*C81^5+0.000484825656*C81^4-0.01426446279*C81^3+0.17997837523*C81^2-0.8432145333*C81+1.3036332968)*($B$7-$B$8))+$B$8)</f>
        <v>4.8863269315042404</v>
      </c>
      <c r="C81" s="3">
        <f>IF(((Foglio2!$B$19*24)+(A81/60))&lt;3,((Foglio2!$B$19*24)+(A81/60))+24,IF(((Foglio2!$B$19*24)+(A81/60))&gt;27,((Foglio2!$B$19*24)+(A81/60))-(E81*24),((Foglio2!$B$19*24)+(A81/60))))</f>
        <v>21.583625434027777</v>
      </c>
      <c r="D81" s="6">
        <f t="shared" si="13"/>
        <v>5.8863269315042404</v>
      </c>
      <c r="E81" s="2">
        <f>MIN(ODD((((Foglio2!$B$19*24)+(A81/60))-3.5)/24),EVEN((((Foglio2!$B$19*24)+(A81/60))-3.5)/24))-1</f>
        <v>0</v>
      </c>
      <c r="F81" s="3"/>
      <c r="G81" s="2"/>
      <c r="H81" s="6">
        <f t="shared" si="12"/>
        <v>72.020205078125002</v>
      </c>
      <c r="I81" s="5">
        <f t="shared" si="9"/>
        <v>3953.9307157537328</v>
      </c>
      <c r="J81" s="3">
        <f t="shared" ca="1" si="2"/>
        <v>6.8987506397498839</v>
      </c>
      <c r="K81" s="3">
        <f t="shared" si="10"/>
        <v>3954</v>
      </c>
      <c r="L81" s="3">
        <f t="shared" ca="1" si="3"/>
        <v>6.8941804842930985</v>
      </c>
      <c r="M81" s="3">
        <f t="shared" ca="1" si="4"/>
        <v>6.9851738550983358</v>
      </c>
      <c r="N81" s="3"/>
      <c r="O81" s="3" t="str">
        <f ca="1">IF($B$14=0,0,IF(K81=$A$18,IF(ABS(((J81+L81+M81)/3)-$F$8)&lt;Foglio2!$B$22,H81,""),O81))</f>
        <v/>
      </c>
      <c r="P81" s="3"/>
      <c r="Q81" s="4"/>
      <c r="R81" s="4"/>
      <c r="S81" s="4"/>
    </row>
    <row r="82" spans="1:19" x14ac:dyDescent="0.25">
      <c r="A82" s="6">
        <f t="shared" si="14"/>
        <v>32.515950792100682</v>
      </c>
      <c r="B82" s="6">
        <f>IF(Foglio2!$B$20=0,(($B$129-$B$69)/60)+B81,((0.000000009989279499*C82^6-0.000006306045622*C82^5+0.000484825656*C82^4-0.01426446279*C82^3+0.17997837523*C82^2-0.8432145333*C82+1.3036332968)*($B$7-$B$8))+$B$8)</f>
        <v>4.8594650342993591</v>
      </c>
      <c r="C82" s="3">
        <f>IF(((Foglio2!$B$19*24)+(A82/60))&lt;3,((Foglio2!$B$19*24)+(A82/60))+24,IF(((Foglio2!$B$19*24)+(A82/60))&gt;27,((Foglio2!$B$19*24)+(A82/60))-(E82*24),((Foglio2!$B$19*24)+(A82/60))))</f>
        <v>21.625265846535012</v>
      </c>
      <c r="D82" s="6">
        <f t="shared" si="13"/>
        <v>5.8594650342993591</v>
      </c>
      <c r="E82" s="2">
        <f>MIN(ODD((((Foglio2!$B$19*24)+(A82/60))-3.5)/24),EVEN((((Foglio2!$B$19*24)+(A82/60))-3.5)/24))-1</f>
        <v>0</v>
      </c>
      <c r="F82" s="3"/>
      <c r="G82" s="2"/>
      <c r="H82" s="6">
        <f t="shared" si="12"/>
        <v>73.550224609374993</v>
      </c>
      <c r="I82" s="5">
        <f t="shared" si="9"/>
        <v>4036.2626056652689</v>
      </c>
      <c r="J82" s="3">
        <f t="shared" ca="1" si="2"/>
        <v>6.8220124950794716</v>
      </c>
      <c r="K82" s="3">
        <f t="shared" si="10"/>
        <v>4038</v>
      </c>
      <c r="L82" s="3">
        <f t="shared" ca="1" si="3"/>
        <v>6.8175953592435761</v>
      </c>
      <c r="M82" s="3">
        <f t="shared" ca="1" si="4"/>
        <v>6.9055361394765802</v>
      </c>
      <c r="N82" s="3"/>
      <c r="O82" s="3" t="str">
        <f ca="1">IF($B$14=0,0,IF(K82=$A$18,IF(ABS(((J82+L82+M82)/3)-$F$8)&lt;Foglio2!$B$22,H82,""),O82))</f>
        <v/>
      </c>
      <c r="P82" s="3"/>
      <c r="Q82" s="4"/>
      <c r="R82" s="4"/>
      <c r="S82" s="4"/>
    </row>
    <row r="83" spans="1:19" x14ac:dyDescent="0.25">
      <c r="A83" s="6">
        <f t="shared" si="14"/>
        <v>35.014375542534708</v>
      </c>
      <c r="B83" s="6">
        <f>IF(Foglio2!$B$20=0,(($B$129-$B$69)/60)+B82,((0.000000009989279499*C83^6-0.000006306045622*C83^5+0.000484825656*C83^4-0.01426446279*C83^3+0.17997837523*C83^2-0.8432145333*C83+1.3036332968)*($B$7-$B$8))+$B$8)</f>
        <v>4.8329143399645753</v>
      </c>
      <c r="C83" s="3">
        <f>IF(((Foglio2!$B$19*24)+(A83/60))&lt;3,((Foglio2!$B$19*24)+(A83/60))+24,IF(((Foglio2!$B$19*24)+(A83/60))&gt;27,((Foglio2!$B$19*24)+(A83/60))-(E83*24),((Foglio2!$B$19*24)+(A83/60))))</f>
        <v>21.666906259042243</v>
      </c>
      <c r="D83" s="6">
        <f t="shared" si="13"/>
        <v>5.8329143399645753</v>
      </c>
      <c r="E83" s="2">
        <f>MIN(ODD((((Foglio2!$B$19*24)+(A83/60))-3.5)/24),EVEN((((Foglio2!$B$19*24)+(A83/60))-3.5)/24))-1</f>
        <v>0</v>
      </c>
      <c r="F83" s="3"/>
      <c r="G83" s="2"/>
      <c r="H83" s="6">
        <f t="shared" si="12"/>
        <v>75.043815104166669</v>
      </c>
      <c r="I83" s="5">
        <f t="shared" si="9"/>
        <v>4118.5944955768045</v>
      </c>
      <c r="J83" s="3">
        <f t="shared" ca="1" si="2"/>
        <v>6.7495425487996794</v>
      </c>
      <c r="K83" s="3">
        <f t="shared" si="10"/>
        <v>4120</v>
      </c>
      <c r="L83" s="3">
        <f t="shared" ca="1" si="3"/>
        <v>6.7452679776072628</v>
      </c>
      <c r="M83" s="3">
        <f t="shared" ca="1" si="4"/>
        <v>6.8303620288082758</v>
      </c>
      <c r="N83" s="3"/>
      <c r="O83" s="3" t="str">
        <f ca="1">IF($B$14=0,0,IF(K83=$A$18,IF(ABS(((J83+L83+M83)/3)-$F$8)&lt;Foglio2!$B$22,H83,""),O83))</f>
        <v/>
      </c>
      <c r="P83" s="3"/>
      <c r="Q83" s="4"/>
      <c r="R83" s="4"/>
      <c r="S83" s="4"/>
    </row>
    <row r="84" spans="1:19" x14ac:dyDescent="0.25">
      <c r="A84" s="6">
        <f t="shared" si="14"/>
        <v>37.512800292968734</v>
      </c>
      <c r="B84" s="6">
        <f>IF(Foglio2!$B$20=0,(($B$129-$B$69)/60)+B83,((0.000000009989279499*C84^6-0.000006306045622*C84^5+0.000484825656*C84^4-0.01426446279*C84^3+0.17997837523*C84^2-0.8432145333*C84+1.3036332968)*($B$7-$B$8))+$B$8)</f>
        <v>4.8066756007938922</v>
      </c>
      <c r="C84" s="3">
        <f>IF(((Foglio2!$B$19*24)+(A84/60))&lt;3,((Foglio2!$B$19*24)+(A84/60))+24,IF(((Foglio2!$B$19*24)+(A84/60))&gt;27,((Foglio2!$B$19*24)+(A84/60))-(E84*24),((Foglio2!$B$19*24)+(A84/60))))</f>
        <v>21.708546671549477</v>
      </c>
      <c r="D84" s="6">
        <f t="shared" si="13"/>
        <v>5.8066756007938922</v>
      </c>
      <c r="E84" s="2">
        <f>MIN(ODD((((Foglio2!$B$19*24)+(A84/60))-3.5)/24),EVEN((((Foglio2!$B$19*24)+(A84/60))-3.5)/24))-1</f>
        <v>0</v>
      </c>
      <c r="F84" s="3"/>
      <c r="G84" s="2"/>
      <c r="H84" s="6">
        <f t="shared" si="12"/>
        <v>76.53740559895833</v>
      </c>
      <c r="I84" s="5">
        <f t="shared" si="9"/>
        <v>4200.9263854883402</v>
      </c>
      <c r="J84" s="3">
        <f t="shared" ca="1" si="2"/>
        <v>6.6793784006463897</v>
      </c>
      <c r="K84" s="3">
        <f t="shared" si="10"/>
        <v>4202</v>
      </c>
      <c r="L84" s="3">
        <f t="shared" ca="1" si="3"/>
        <v>6.6752401360033335</v>
      </c>
      <c r="M84" s="3">
        <f t="shared" ca="1" si="4"/>
        <v>6.757611944004239</v>
      </c>
      <c r="N84" s="3"/>
      <c r="O84" s="3" t="str">
        <f ca="1">IF($B$14=0,0,IF(K84=$A$18,IF(ABS(((J84+L84+M84)/3)-$F$8)&lt;Foglio2!$B$22,H84,""),O84))</f>
        <v/>
      </c>
      <c r="P84" s="3"/>
      <c r="Q84" s="4"/>
      <c r="R84" s="4"/>
      <c r="S84" s="4"/>
    </row>
    <row r="85" spans="1:19" x14ac:dyDescent="0.25">
      <c r="A85" s="6">
        <f t="shared" si="14"/>
        <v>40.01122504340276</v>
      </c>
      <c r="B85" s="6">
        <f>IF(Foglio2!$B$20=0,(($B$129-$B$69)/60)+B84,((0.000000009989279499*C85^6-0.000006306045622*C85^5+0.000484825656*C85^4-0.01426446279*C85^3+0.17997837523*C85^2-0.8432145333*C85+1.3036332968)*($B$7-$B$8))+$B$8)</f>
        <v>4.7807494859611781</v>
      </c>
      <c r="C85" s="3">
        <f>IF(((Foglio2!$B$19*24)+(A85/60))&lt;3,((Foglio2!$B$19*24)+(A85/60))+24,IF(((Foglio2!$B$19*24)+(A85/60))&gt;27,((Foglio2!$B$19*24)+(A85/60))-(E85*24),((Foglio2!$B$19*24)+(A85/60))))</f>
        <v>21.750187084056712</v>
      </c>
      <c r="D85" s="6">
        <f t="shared" si="13"/>
        <v>5.7807494859611781</v>
      </c>
      <c r="E85" s="2">
        <f>MIN(ODD((((Foglio2!$B$19*24)+(A85/60))-3.5)/24),EVEN((((Foglio2!$B$19*24)+(A85/60))-3.5)/24))-1</f>
        <v>0</v>
      </c>
      <c r="F85" s="3"/>
      <c r="G85" s="2"/>
      <c r="H85" s="6">
        <f t="shared" si="12"/>
        <v>78.030996093750005</v>
      </c>
      <c r="I85" s="5">
        <f t="shared" si="9"/>
        <v>4283.2582753998759</v>
      </c>
      <c r="J85" s="3">
        <f t="shared" ca="1" si="2"/>
        <v>6.6114205809238467</v>
      </c>
      <c r="K85" s="3">
        <f t="shared" si="10"/>
        <v>4284</v>
      </c>
      <c r="L85" s="3">
        <f t="shared" ca="1" si="3"/>
        <v>6.6074127272414875</v>
      </c>
      <c r="M85" s="3">
        <f t="shared" ca="1" si="4"/>
        <v>6.6871802205020119</v>
      </c>
      <c r="N85" s="3"/>
      <c r="O85" s="3" t="str">
        <f ca="1">IF($B$14=0,0,IF(K85=$A$18,IF(ABS(((J85+L85+M85)/3)-$F$8)&lt;Foglio2!$B$22,H85,""),O85))</f>
        <v/>
      </c>
      <c r="P85" s="3"/>
      <c r="Q85" s="4"/>
      <c r="R85" s="4"/>
      <c r="S85" s="4"/>
    </row>
    <row r="86" spans="1:19" x14ac:dyDescent="0.25">
      <c r="A86" s="6">
        <f t="shared" si="14"/>
        <v>42.509649793836786</v>
      </c>
      <c r="B86" s="6">
        <f>IF(Foglio2!$B$20=0,(($B$129-$B$69)/60)+B85,((0.000000009989279499*C86^6-0.000006306045622*C86^5+0.000484825656*C86^4-0.01426446279*C86^3+0.17997837523*C86^2-0.8432145333*C86+1.3036332968)*($B$7-$B$8))+$B$8)</f>
        <v>4.7551365808437795</v>
      </c>
      <c r="C86" s="3">
        <f>IF(((Foglio2!$B$19*24)+(A86/60))&lt;3,((Foglio2!$B$19*24)+(A86/60))+24,IF(((Foglio2!$B$19*24)+(A86/60))&gt;27,((Foglio2!$B$19*24)+(A86/60))-(E86*24),((Foglio2!$B$19*24)+(A86/60))))</f>
        <v>21.791827496563947</v>
      </c>
      <c r="D86" s="6">
        <f t="shared" si="13"/>
        <v>5.7551365808437795</v>
      </c>
      <c r="E86" s="2">
        <f>MIN(ODD((((Foglio2!$B$19*24)+(A86/60))-3.5)/24),EVEN((((Foglio2!$B$19*24)+(A86/60))-3.5)/24))-1</f>
        <v>0</v>
      </c>
      <c r="F86" s="3"/>
      <c r="G86" s="2"/>
      <c r="H86" s="6">
        <f t="shared" si="12"/>
        <v>79.524586588541666</v>
      </c>
      <c r="I86" s="5">
        <f t="shared" si="9"/>
        <v>4365.5901653114115</v>
      </c>
      <c r="J86" s="3">
        <f t="shared" ca="1" si="2"/>
        <v>6.5455747949023424</v>
      </c>
      <c r="K86" s="3">
        <f t="shared" si="10"/>
        <v>4366</v>
      </c>
      <c r="L86" s="3">
        <f t="shared" ca="1" si="3"/>
        <v>6.5416917733282913</v>
      </c>
      <c r="M86" s="3">
        <f t="shared" ca="1" si="4"/>
        <v>6.6189667306111755</v>
      </c>
      <c r="N86" s="3"/>
      <c r="O86" s="3" t="str">
        <f ca="1">IF($B$14=0,0,IF(K86=$A$18,IF(ABS(((J86+L86+M86)/3)-$F$8)&lt;Foglio2!$B$22,H86,""),O86))</f>
        <v/>
      </c>
      <c r="P86" s="3"/>
      <c r="Q86" s="4"/>
      <c r="R86" s="4"/>
      <c r="S86" s="4"/>
    </row>
    <row r="87" spans="1:19" x14ac:dyDescent="0.25">
      <c r="A87" s="6">
        <f t="shared" si="14"/>
        <v>45.008074544270812</v>
      </c>
      <c r="B87" s="6">
        <f>IF(Foglio2!$B$20=0,(($B$129-$B$69)/60)+B86,((0.000000009989279499*C87^6-0.000006306045622*C87^5+0.000484825656*C87^4-0.01426446279*C87^3+0.17997837523*C87^2-0.8432145333*C87+1.3036332968)*($B$7-$B$8))+$B$8)</f>
        <v>4.729837386346742</v>
      </c>
      <c r="C87" s="3">
        <f>IF(((Foglio2!$B$19*24)+(A87/60))&lt;3,((Foglio2!$B$19*24)+(A87/60))+24,IF(((Foglio2!$B$19*24)+(A87/60))&gt;27,((Foglio2!$B$19*24)+(A87/60))-(E87*24),((Foglio2!$B$19*24)+(A87/60))))</f>
        <v>21.833467909071178</v>
      </c>
      <c r="D87" s="6">
        <f t="shared" si="13"/>
        <v>5.729837386346742</v>
      </c>
      <c r="E87" s="2">
        <f>MIN(ODD((((Foglio2!$B$19*24)+(A87/60))-3.5)/24),EVEN((((Foglio2!$B$19*24)+(A87/60))-3.5)/24))-1</f>
        <v>0</v>
      </c>
      <c r="F87" s="3"/>
      <c r="G87" s="2"/>
      <c r="H87" s="6">
        <f t="shared" si="12"/>
        <v>81.018177083333327</v>
      </c>
      <c r="I87" s="5">
        <f t="shared" si="9"/>
        <v>4447.9220552229472</v>
      </c>
      <c r="J87" s="3">
        <f t="shared" ca="1" si="2"/>
        <v>6.481751608217702</v>
      </c>
      <c r="K87" s="3">
        <f t="shared" si="10"/>
        <v>4448</v>
      </c>
      <c r="L87" s="3">
        <f t="shared" ca="1" si="3"/>
        <v>6.4779881302248592</v>
      </c>
      <c r="M87" s="3">
        <f t="shared" ca="1" si="4"/>
        <v>6.5528765505491844</v>
      </c>
      <c r="N87" s="3"/>
      <c r="O87" s="3" t="str">
        <f ca="1">IF($B$14=0,0,IF(K87=$A$18,IF(ABS(((J87+L87+M87)/3)-$F$8)&lt;Foglio2!$B$22,H87,""),O87))</f>
        <v/>
      </c>
      <c r="P87" s="3"/>
      <c r="Q87" s="4"/>
      <c r="R87" s="4"/>
      <c r="S87" s="4"/>
    </row>
    <row r="88" spans="1:19" x14ac:dyDescent="0.25">
      <c r="A88" s="6">
        <f t="shared" si="14"/>
        <v>47.506499294704838</v>
      </c>
      <c r="B88" s="6">
        <f>IF(Foglio2!$B$20=0,(($B$129-$B$69)/60)+B87,((0.000000009989279499*C88^6-0.000006306045622*C88^5+0.000484825656*C88^4-0.01426446279*C88^3+0.17997837523*C88^2-0.8432145333*C88+1.3036332968)*($B$7-$B$8))+$B$8)</f>
        <v>4.7048523182250479</v>
      </c>
      <c r="C88" s="3">
        <f>IF(((Foglio2!$B$19*24)+(A88/60))&lt;3,((Foglio2!$B$19*24)+(A88/60))+24,IF(((Foglio2!$B$19*24)+(A88/60))&gt;27,((Foglio2!$B$19*24)+(A88/60))-(E88*24),((Foglio2!$B$19*24)+(A88/60))))</f>
        <v>21.875108321578413</v>
      </c>
      <c r="D88" s="6">
        <f t="shared" si="13"/>
        <v>5.7048523182250479</v>
      </c>
      <c r="E88" s="2">
        <f>MIN(ODD((((Foglio2!$B$19*24)+(A88/60))-3.5)/24),EVEN((((Foglio2!$B$19*24)+(A88/60))-3.5)/24))-1</f>
        <v>0</v>
      </c>
      <c r="F88" s="3"/>
      <c r="G88" s="2"/>
      <c r="H88" s="6">
        <f t="shared" si="12"/>
        <v>82.548196614583318</v>
      </c>
      <c r="I88" s="5">
        <f t="shared" si="9"/>
        <v>4530.2539451344828</v>
      </c>
      <c r="J88" s="3">
        <f t="shared" ca="1" si="2"/>
        <v>6.4183802772747294</v>
      </c>
      <c r="K88" s="3">
        <f t="shared" si="10"/>
        <v>4532</v>
      </c>
      <c r="L88" s="3">
        <f t="shared" ca="1" si="3"/>
        <v>6.4147340580072898</v>
      </c>
      <c r="M88" s="3">
        <f t="shared" ca="1" si="4"/>
        <v>6.4872819597172189</v>
      </c>
      <c r="N88" s="3"/>
      <c r="O88" s="3" t="str">
        <f ca="1">IF($B$14=0,0,IF(K88=$A$18,IF(ABS(((J88+L88+M88)/3)-$F$8)&lt;Foglio2!$B$22,H88,""),O88))</f>
        <v/>
      </c>
      <c r="P88" s="3"/>
      <c r="Q88" s="4"/>
      <c r="R88" s="4"/>
      <c r="S88" s="4"/>
    </row>
    <row r="89" spans="1:19" x14ac:dyDescent="0.25">
      <c r="A89" s="6">
        <f t="shared" si="14"/>
        <v>50.004924045138864</v>
      </c>
      <c r="B89" s="6">
        <f>IF(Foglio2!$B$20=0,(($B$129-$B$69)/60)+B88,((0.000000009989279499*C89^6-0.000006306045622*C89^5+0.000484825656*C89^4-0.01426446279*C89^3+0.17997837523*C89^2-0.8432145333*C89+1.3036332968)*($B$7-$B$8))+$B$8)</f>
        <v>4.680181706409436</v>
      </c>
      <c r="C89" s="3">
        <f>IF(((Foglio2!$B$19*24)+(A89/60))&lt;3,((Foglio2!$B$19*24)+(A89/60))+24,IF(((Foglio2!$B$19*24)+(A89/60))&gt;27,((Foglio2!$B$19*24)+(A89/60))-(E89*24),((Foglio2!$B$19*24)+(A89/60))))</f>
        <v>21.916748734085647</v>
      </c>
      <c r="D89" s="6">
        <f t="shared" si="13"/>
        <v>5.680181706409436</v>
      </c>
      <c r="E89" s="2">
        <f>MIN(ODD((((Foglio2!$B$19*24)+(A89/60))-3.5)/24),EVEN((((Foglio2!$B$19*24)+(A89/60))-3.5)/24))-1</f>
        <v>0</v>
      </c>
      <c r="F89" s="3"/>
      <c r="G89" s="2"/>
      <c r="H89" s="6">
        <f t="shared" si="12"/>
        <v>84.041787109374994</v>
      </c>
      <c r="I89" s="5">
        <f t="shared" si="9"/>
        <v>4612.5858350460185</v>
      </c>
      <c r="J89" s="3">
        <f t="shared" ca="1" si="2"/>
        <v>6.3583963333869464</v>
      </c>
      <c r="K89" s="3">
        <f t="shared" si="10"/>
        <v>4614</v>
      </c>
      <c r="L89" s="3">
        <f t="shared" ca="1" si="3"/>
        <v>6.354859763583466</v>
      </c>
      <c r="M89" s="3">
        <f t="shared" ca="1" si="4"/>
        <v>6.4252193983585579</v>
      </c>
      <c r="N89" s="3"/>
      <c r="O89" s="3" t="str">
        <f ca="1">IF($B$14=0,0,IF(K89=$A$18,IF(ABS(((J89+L89+M89)/3)-$F$8)&lt;Foglio2!$B$22,H89,""),O89))</f>
        <v/>
      </c>
      <c r="P89" s="3"/>
      <c r="Q89" s="4"/>
      <c r="R89" s="4"/>
      <c r="S89" s="4"/>
    </row>
    <row r="90" spans="1:19" x14ac:dyDescent="0.25">
      <c r="A90" s="6">
        <f t="shared" si="14"/>
        <v>52.50334879557289</v>
      </c>
      <c r="B90" s="6">
        <f>IF(Foglio2!$B$20=0,(($B$129-$B$69)/60)+B89,((0.000000009989279499*C90^6-0.000006306045622*C90^5+0.000484825656*C90^4-0.01426446279*C90^3+0.17997837523*C90^2-0.8432145333*C90+1.3036332968)*($B$7-$B$8))+$B$8)</f>
        <v>4.6558257943288313</v>
      </c>
      <c r="C90" s="3">
        <f>IF(((Foglio2!$B$19*24)+(A90/60))&lt;3,((Foglio2!$B$19*24)+(A90/60))+24,IF(((Foglio2!$B$19*24)+(A90/60))&gt;27,((Foglio2!$B$19*24)+(A90/60))-(E90*24),((Foglio2!$B$19*24)+(A90/60))))</f>
        <v>21.958389146592879</v>
      </c>
      <c r="D90" s="6">
        <f t="shared" si="13"/>
        <v>5.6558257943288313</v>
      </c>
      <c r="E90" s="2">
        <f>MIN(ODD((((Foglio2!$B$19*24)+(A90/60))-3.5)/24),EVEN((((Foglio2!$B$19*24)+(A90/60))-3.5)/24))-1</f>
        <v>0</v>
      </c>
      <c r="F90" s="3"/>
      <c r="G90" s="2"/>
      <c r="H90" s="6">
        <f t="shared" si="12"/>
        <v>85.535377604166655</v>
      </c>
      <c r="I90" s="5">
        <f t="shared" si="9"/>
        <v>4694.9177249575541</v>
      </c>
      <c r="J90" s="3">
        <f t="shared" ca="1" si="2"/>
        <v>6.3001912508647058</v>
      </c>
      <c r="K90" s="3">
        <f t="shared" si="10"/>
        <v>4696</v>
      </c>
      <c r="L90" s="3">
        <f t="shared" ca="1" si="3"/>
        <v>6.2967598122812252</v>
      </c>
      <c r="M90" s="3">
        <f t="shared" ca="1" si="4"/>
        <v>6.3650216864908984</v>
      </c>
      <c r="N90" s="3"/>
      <c r="O90" s="3" t="str">
        <f ca="1">IF($B$14=0,0,IF(K90=$A$18,IF(ABS(((J90+L90+M90)/3)-$F$8)&lt;Foglio2!$B$22,H90,""),O90))</f>
        <v/>
      </c>
      <c r="P90" s="3"/>
      <c r="Q90" s="4"/>
      <c r="R90" s="4"/>
      <c r="S90" s="4"/>
    </row>
    <row r="91" spans="1:19" x14ac:dyDescent="0.25">
      <c r="A91" s="6">
        <f t="shared" si="14"/>
        <v>55.001773546006916</v>
      </c>
      <c r="B91" s="6">
        <f>IF(Foglio2!$B$20=0,(($B$129-$B$69)/60)+B90,((0.000000009989279499*C91^6-0.000006306045622*C91^5+0.000484825656*C91^4-0.01426446279*C91^3+0.17997837523*C91^2-0.8432145333*C91+1.3036332968)*($B$7-$B$8))+$B$8)</f>
        <v>4.6317847382380188</v>
      </c>
      <c r="C91" s="3">
        <f>IF(((Foglio2!$B$19*24)+(A91/60))&lt;3,((Foglio2!$B$19*24)+(A91/60))+24,IF(((Foglio2!$B$19*24)+(A91/60))&gt;27,((Foglio2!$B$19*24)+(A91/60))-(E91*24),((Foglio2!$B$19*24)+(A91/60))))</f>
        <v>22.000029559100113</v>
      </c>
      <c r="D91" s="6">
        <f t="shared" si="13"/>
        <v>5.6317847382380188</v>
      </c>
      <c r="E91" s="2">
        <f>MIN(ODD((((Foglio2!$B$19*24)+(A91/60))-3.5)/24),EVEN((((Foglio2!$B$19*24)+(A91/60))-3.5)/24))-1</f>
        <v>0</v>
      </c>
      <c r="F91" s="3"/>
      <c r="G91" s="2"/>
      <c r="H91" s="6">
        <f t="shared" si="12"/>
        <v>87.028968098958316</v>
      </c>
      <c r="I91" s="5">
        <f t="shared" si="9"/>
        <v>4777.2496148690898</v>
      </c>
      <c r="J91" s="3">
        <f t="shared" ca="1" si="2"/>
        <v>6.2436924411199408</v>
      </c>
      <c r="K91" s="3">
        <f t="shared" si="10"/>
        <v>4778</v>
      </c>
      <c r="L91" s="3">
        <f t="shared" ca="1" si="3"/>
        <v>6.2403618408153401</v>
      </c>
      <c r="M91" s="3">
        <f t="shared" ca="1" si="4"/>
        <v>6.3066119235738825</v>
      </c>
      <c r="N91" s="3"/>
      <c r="O91" s="3" t="str">
        <f ca="1">IF($B$14=0,0,IF(K91=$A$18,IF(ABS(((J91+L91+M91)/3)-$F$8)&lt;Foglio2!$B$22,H91,""),O91))</f>
        <v/>
      </c>
      <c r="P91" s="3"/>
      <c r="Q91" s="4"/>
      <c r="R91" s="4"/>
      <c r="S91" s="4"/>
    </row>
    <row r="92" spans="1:19" x14ac:dyDescent="0.25">
      <c r="A92" s="6">
        <f t="shared" si="14"/>
        <v>57.500198296440942</v>
      </c>
      <c r="B92" s="6">
        <f>IF(Foglio2!$B$20=0,(($B$129-$B$69)/60)+B91,((0.000000009989279499*C92^6-0.000006306045622*C92^5+0.000484825656*C92^4-0.01426446279*C92^3+0.17997837523*C92^2-0.8432145333*C92+1.3036332968)*($B$7-$B$8))+$B$8)</f>
        <v>4.608058606539978</v>
      </c>
      <c r="C92" s="3">
        <f>IF(((Foglio2!$B$19*24)+(A92/60))&lt;3,((Foglio2!$B$19*24)+(A92/60))+24,IF(((Foglio2!$B$19*24)+(A92/60))&gt;27,((Foglio2!$B$19*24)+(A92/60))-(E92*24),((Foglio2!$B$19*24)+(A92/60))))</f>
        <v>22.041669971607348</v>
      </c>
      <c r="D92" s="6">
        <f t="shared" si="13"/>
        <v>5.608058606539978</v>
      </c>
      <c r="E92" s="2">
        <f>MIN(ODD((((Foglio2!$B$19*24)+(A92/60))-3.5)/24),EVEN((((Foglio2!$B$19*24)+(A92/60))-3.5)/24))-1</f>
        <v>0</v>
      </c>
      <c r="F92" s="3"/>
      <c r="G92" s="2"/>
      <c r="H92" s="6">
        <f t="shared" si="12"/>
        <v>88.522558593749977</v>
      </c>
      <c r="I92" s="5">
        <f t="shared" si="9"/>
        <v>4859.5815047806254</v>
      </c>
      <c r="J92" s="3">
        <f t="shared" ca="1" si="2"/>
        <v>6.1888309148825469</v>
      </c>
      <c r="K92" s="3">
        <f t="shared" si="10"/>
        <v>4860</v>
      </c>
      <c r="L92" s="3">
        <f t="shared" ca="1" si="3"/>
        <v>6.1855970723855505</v>
      </c>
      <c r="M92" s="3">
        <f t="shared" ca="1" si="4"/>
        <v>6.249917055181121</v>
      </c>
      <c r="N92" s="3"/>
      <c r="O92" s="3" t="str">
        <f ca="1">IF($B$14=0,0,IF(K92=$A$18,IF(ABS(((J92+L92+M92)/3)-$F$8)&lt;Foglio2!$B$22,H92,""),O92))</f>
        <v/>
      </c>
      <c r="P92" s="3"/>
      <c r="Q92" s="4"/>
      <c r="R92" s="4"/>
      <c r="S92" s="4"/>
    </row>
    <row r="93" spans="1:19" x14ac:dyDescent="0.25">
      <c r="A93" s="6">
        <f t="shared" si="14"/>
        <v>59.998623046874968</v>
      </c>
      <c r="B93" s="6">
        <f>IF(Foglio2!$B$20=0,(($B$129-$B$69)/60)+B92,((0.000000009989279499*C93^6-0.000006306045622*C93^5+0.000484825656*C93^4-0.01426446279*C93^3+0.17997837523*C93^2-0.8432145333*C93+1.3036332968)*($B$7-$B$8))+$B$8)</f>
        <v>4.5846473791130444</v>
      </c>
      <c r="C93" s="3">
        <f>IF(((Foglio2!$B$19*24)+(A93/60))&lt;3,((Foglio2!$B$19*24)+(A93/60))+24,IF(((Foglio2!$B$19*24)+(A93/60))&gt;27,((Foglio2!$B$19*24)+(A93/60))-(E93*24),((Foglio2!$B$19*24)+(A93/60))))</f>
        <v>22.083310384114583</v>
      </c>
      <c r="D93" s="6">
        <f t="shared" si="13"/>
        <v>5.5846473791130444</v>
      </c>
      <c r="E93" s="2">
        <f>MIN(ODD((((Foglio2!$B$19*24)+(A93/60))-3.5)/24),EVEN((((Foglio2!$B$19*24)+(A93/60))-3.5)/24))-1</f>
        <v>0</v>
      </c>
      <c r="F93" s="3"/>
      <c r="G93" s="2"/>
      <c r="H93" s="6">
        <f t="shared" si="12"/>
        <v>90.016149088541653</v>
      </c>
      <c r="I93" s="5">
        <f t="shared" si="9"/>
        <v>4941.9133946921611</v>
      </c>
      <c r="J93" s="3">
        <f t="shared" ca="1" si="2"/>
        <v>6.1355410783810509</v>
      </c>
      <c r="K93" s="3">
        <f t="shared" si="10"/>
        <v>4942</v>
      </c>
      <c r="L93" s="3">
        <f t="shared" ca="1" si="3"/>
        <v>6.1324001136886501</v>
      </c>
      <c r="M93" s="3">
        <f t="shared" ca="1" si="4"/>
        <v>6.1948676534112224</v>
      </c>
      <c r="N93" s="3"/>
      <c r="O93" s="3" t="str">
        <f ca="1">IF($B$14=0,0,IF(K93=$A$18,IF(ABS(((J93+L93+M93)/3)-$F$8)&lt;Foglio2!$B$22,H93,""),O93))</f>
        <v/>
      </c>
      <c r="P93" s="3"/>
      <c r="Q93" s="4"/>
      <c r="R93" s="4"/>
      <c r="S93" s="4"/>
    </row>
    <row r="94" spans="1:19" x14ac:dyDescent="0.25">
      <c r="A94" s="6">
        <f t="shared" si="14"/>
        <v>62.497047797308994</v>
      </c>
      <c r="B94" s="6">
        <f>IF(Foglio2!$B$20=0,(($B$129-$B$69)/60)+B93,((0.000000009989279499*C94^6-0.000006306045622*C94^5+0.000484825656*C94^4-0.01426446279*C94^3+0.17997837523*C94^2-0.8432145333*C94+1.3036332968)*($B$7-$B$8))+$B$8)</f>
        <v>4.5615509466358981</v>
      </c>
      <c r="C94" s="3">
        <f>IF(((Foglio2!$B$19*24)+(A94/60))&lt;3,((Foglio2!$B$19*24)+(A94/60))+24,IF(((Foglio2!$B$19*24)+(A94/60))&gt;27,((Foglio2!$B$19*24)+(A94/60))-(E94*24),((Foglio2!$B$19*24)+(A94/60))))</f>
        <v>22.124950796621814</v>
      </c>
      <c r="D94" s="6">
        <f t="shared" si="13"/>
        <v>5.5615509466358981</v>
      </c>
      <c r="E94" s="2">
        <f>MIN(ODD((((Foglio2!$B$19*24)+(A94/60))-3.5)/24),EVEN((((Foglio2!$B$19*24)+(A94/60))-3.5)/24))-1</f>
        <v>0</v>
      </c>
      <c r="F94" s="3"/>
      <c r="G94" s="2"/>
      <c r="H94" s="6">
        <f t="shared" si="12"/>
        <v>91.546168619791644</v>
      </c>
      <c r="I94" s="5">
        <f t="shared" si="9"/>
        <v>5024.2452846036967</v>
      </c>
      <c r="J94" s="3">
        <f t="shared" ca="1" si="2"/>
        <v>6.0825159511103717</v>
      </c>
      <c r="K94" s="3">
        <f t="shared" si="10"/>
        <v>5026</v>
      </c>
      <c r="L94" s="3">
        <f t="shared" ca="1" si="3"/>
        <v>6.0794663041614143</v>
      </c>
      <c r="M94" s="3">
        <f t="shared" ca="1" si="4"/>
        <v>6.1401127622446694</v>
      </c>
      <c r="N94" s="3"/>
      <c r="O94" s="3" t="str">
        <f ca="1">IF($B$14=0,0,IF(K94=$A$18,IF(ABS(((J94+L94+M94)/3)-$F$8)&lt;Foglio2!$B$22,H94,""),O94))</f>
        <v/>
      </c>
      <c r="P94" s="3"/>
      <c r="Q94" s="3"/>
      <c r="R94" s="3"/>
    </row>
    <row r="95" spans="1:19" x14ac:dyDescent="0.25">
      <c r="A95" s="6">
        <f t="shared" si="14"/>
        <v>64.99547254774302</v>
      </c>
      <c r="B95" s="6">
        <f>IF(Foglio2!$B$20=0,(($B$129-$B$69)/60)+B94,((0.000000009989279499*C95^6-0.000006306045622*C95^5+0.000484825656*C95^4-0.01426446279*C95^3+0.17997837523*C95^2-0.8432145333*C95+1.3036332968)*($B$7-$B$8))+$B$8)</f>
        <v>4.5387691099150453</v>
      </c>
      <c r="C95" s="3">
        <f>IF(((Foglio2!$B$19*24)+(A95/60))&lt;3,((Foglio2!$B$19*24)+(A95/60))+24,IF(((Foglio2!$B$19*24)+(A95/60))&gt;27,((Foglio2!$B$19*24)+(A95/60))-(E95*24),((Foglio2!$B$19*24)+(A95/60))))</f>
        <v>22.166591209129049</v>
      </c>
      <c r="D95" s="6">
        <f t="shared" si="13"/>
        <v>5.5387691099150453</v>
      </c>
      <c r="E95" s="2">
        <f>MIN(ODD((((Foglio2!$B$19*24)+(A95/60))-3.5)/24),EVEN((((Foglio2!$B$19*24)+(A95/60))-3.5)/24))-1</f>
        <v>0</v>
      </c>
      <c r="F95" s="3"/>
      <c r="G95" s="2"/>
      <c r="H95" s="6">
        <f t="shared" si="12"/>
        <v>93.039759114583333</v>
      </c>
      <c r="I95" s="5">
        <f t="shared" si="9"/>
        <v>5106.5771745152324</v>
      </c>
      <c r="J95" s="3">
        <f t="shared" ca="1" si="2"/>
        <v>6.0322199992631305</v>
      </c>
      <c r="K95" s="3">
        <f t="shared" si="10"/>
        <v>5108</v>
      </c>
      <c r="L95" s="3">
        <f t="shared" ca="1" si="3"/>
        <v>6.0292559437507638</v>
      </c>
      <c r="M95" s="3">
        <f t="shared" ca="1" si="4"/>
        <v>6.0881957352085765</v>
      </c>
      <c r="N95" s="3"/>
      <c r="O95" s="3" t="str">
        <f ca="1">IF($B$14=0,0,IF(K95=$A$18,IF(ABS(((J95+L95+M95)/3)-$F$8)&lt;Foglio2!$B$22,H95,""),O95))</f>
        <v/>
      </c>
      <c r="P95" s="3"/>
      <c r="Q95" s="3"/>
      <c r="R95" s="3"/>
    </row>
    <row r="96" spans="1:19" x14ac:dyDescent="0.25">
      <c r="A96" s="6">
        <f t="shared" si="14"/>
        <v>67.493897298177046</v>
      </c>
      <c r="B96" s="6">
        <f>IF(Foglio2!$B$20=0,(($B$129-$B$69)/60)+B95,((0.000000009989279499*C96^6-0.000006306045622*C96^5+0.000484825656*C96^4-0.01426446279*C96^3+0.17997837523*C96^2-0.8432145333*C96+1.3036332968)*($B$7-$B$8))+$B$8)</f>
        <v>4.5163015792083678</v>
      </c>
      <c r="C96" s="3">
        <f>IF(((Foglio2!$B$19*24)+(A96/60))&lt;3,((Foglio2!$B$19*24)+(A96/60))+24,IF(((Foglio2!$B$19*24)+(A96/60))&gt;27,((Foglio2!$B$19*24)+(A96/60))-(E96*24),((Foglio2!$B$19*24)+(A96/60))))</f>
        <v>22.208231621636283</v>
      </c>
      <c r="D96" s="6">
        <f t="shared" si="13"/>
        <v>5.5163015792083678</v>
      </c>
      <c r="E96" s="2">
        <f>MIN(ODD((((Foglio2!$B$19*24)+(A96/60))-3.5)/24),EVEN((((Foglio2!$B$19*24)+(A96/60))-3.5)/24))-1</f>
        <v>0</v>
      </c>
      <c r="F96" s="3"/>
      <c r="G96" s="2"/>
      <c r="H96" s="6">
        <f t="shared" si="12"/>
        <v>94.533349609374994</v>
      </c>
      <c r="I96" s="5">
        <f t="shared" si="9"/>
        <v>5188.9090644267681</v>
      </c>
      <c r="J96" s="3">
        <f t="shared" ca="1" si="2"/>
        <v>5.9833161348650075</v>
      </c>
      <c r="K96" s="3">
        <f t="shared" si="10"/>
        <v>5190</v>
      </c>
      <c r="L96" s="3">
        <f t="shared" ca="1" si="3"/>
        <v>5.9804343315220914</v>
      </c>
      <c r="M96" s="3">
        <f t="shared" ca="1" si="4"/>
        <v>6.0377342383336883</v>
      </c>
      <c r="N96" s="3"/>
      <c r="O96" s="3" t="str">
        <f ca="1">IF($B$14=0,0,IF(K96=$A$18,IF(ABS(((J96+L96+M96)/3)-$F$8)&lt;Foglio2!$B$22,H96,""),O96))</f>
        <v/>
      </c>
      <c r="P96" s="3"/>
      <c r="Q96" s="3"/>
      <c r="R96" s="3"/>
    </row>
    <row r="97" spans="1:18" x14ac:dyDescent="0.25">
      <c r="A97" s="6">
        <f t="shared" si="14"/>
        <v>69.992322048611072</v>
      </c>
      <c r="B97" s="6">
        <f>IF(Foglio2!$B$20=0,(($B$129-$B$69)/60)+B96,((0.000000009989279499*C97^6-0.000006306045622*C97^5+0.000484825656*C97^4-0.01426446279*C97^3+0.17997837523*C97^2-0.8432145333*C97+1.3036332968)*($B$7-$B$8))+$B$8)</f>
        <v>4.4941479735560579</v>
      </c>
      <c r="C97" s="3">
        <f>IF(((Foglio2!$B$19*24)+(A97/60))&lt;3,((Foglio2!$B$19*24)+(A97/60))+24,IF(((Foglio2!$B$19*24)+(A97/60))&gt;27,((Foglio2!$B$19*24)+(A97/60))-(E97*24),((Foglio2!$B$19*24)+(A97/60))))</f>
        <v>22.249872034143518</v>
      </c>
      <c r="D97" s="6">
        <f t="shared" si="13"/>
        <v>5.4941479735560579</v>
      </c>
      <c r="E97" s="2">
        <f>MIN(ODD((((Foglio2!$B$19*24)+(A97/60))-3.5)/24),EVEN((((Foglio2!$B$19*24)+(A97/60))-3.5)/24))-1</f>
        <v>0</v>
      </c>
      <c r="F97" s="3"/>
      <c r="G97" s="2"/>
      <c r="H97" s="6">
        <f t="shared" ref="H97:H133" si="15">(K97*$G$27*$B$34*$B$34*$B$2*$B$3)/($B$1*1000000*60)</f>
        <v>96.026940104166655</v>
      </c>
      <c r="I97" s="5">
        <f t="shared" si="9"/>
        <v>5271.2409543383037</v>
      </c>
      <c r="J97" s="3">
        <f t="shared" ca="1" si="2"/>
        <v>5.9357506166738121</v>
      </c>
      <c r="K97" s="3">
        <f t="shared" si="10"/>
        <v>5272</v>
      </c>
      <c r="L97" s="3">
        <f t="shared" ca="1" si="3"/>
        <v>5.9329478855592042</v>
      </c>
      <c r="M97" s="3">
        <f t="shared" ca="1" si="4"/>
        <v>5.9886714878277161</v>
      </c>
      <c r="N97" s="3"/>
      <c r="O97" s="3" t="str">
        <f ca="1">IF($B$14=0,0,IF(K97=$A$18,IF(ABS(((J97+L97+M97)/3)-$F$8)&lt;Foglio2!$B$22,H97,""),O97))</f>
        <v/>
      </c>
      <c r="P97" s="3"/>
      <c r="Q97" s="3"/>
      <c r="R97" s="3"/>
    </row>
    <row r="98" spans="1:18" x14ac:dyDescent="0.25">
      <c r="A98" s="6">
        <f t="shared" si="14"/>
        <v>72.490746799045098</v>
      </c>
      <c r="B98" s="6">
        <f>IF(Foglio2!$B$20=0,(($B$129-$B$69)/60)+B97,((0.000000009989279499*C98^6-0.000006306045622*C98^5+0.000484825656*C98^4-0.01426446279*C98^3+0.17997837523*C98^2-0.8432145333*C98+1.3036332968)*($B$7-$B$8))+$B$8)</f>
        <v>4.4723078201049669</v>
      </c>
      <c r="C98" s="3">
        <f>IF(((Foglio2!$B$19*24)+(A98/60))&lt;3,((Foglio2!$B$19*24)+(A98/60))+24,IF(((Foglio2!$B$19*24)+(A98/60))&gt;27,((Foglio2!$B$19*24)+(A98/60))-(E98*24),((Foglio2!$B$19*24)+(A98/60))))</f>
        <v>22.291512446650749</v>
      </c>
      <c r="D98" s="6">
        <f t="shared" si="13"/>
        <v>5.4723078201049669</v>
      </c>
      <c r="E98" s="2">
        <f>MIN(ODD((((Foglio2!$B$19*24)+(A98/60))-3.5)/24),EVEN((((Foglio2!$B$19*24)+(A98/60))-3.5)/24))-1</f>
        <v>0</v>
      </c>
      <c r="F98" s="3"/>
      <c r="G98" s="2"/>
      <c r="H98" s="6">
        <f t="shared" si="15"/>
        <v>97.520530598958331</v>
      </c>
      <c r="I98" s="5">
        <f t="shared" si="9"/>
        <v>5353.5728442498394</v>
      </c>
      <c r="J98" s="3">
        <f t="shared" ref="J98:J133" ca="1" si="16">IF($B$14=0,0,IF(K98=$A$18,$F$33,J98))</f>
        <v>5.8894722527223182</v>
      </c>
      <c r="K98" s="3">
        <f t="shared" si="10"/>
        <v>5354</v>
      </c>
      <c r="L98" s="3">
        <f t="shared" ref="L98:L133" ca="1" si="17">IF($B$14=0,0,IF(K98=$A$18,$F$43,L98))</f>
        <v>5.8867455645328883</v>
      </c>
      <c r="M98" s="3">
        <f t="shared" ref="M98:M133" ca="1" si="18">IF($B$14=0,0,IF(K98=$A$18,$F$37,M98))</f>
        <v>5.9409534161493189</v>
      </c>
      <c r="N98" s="3"/>
      <c r="O98" s="3" t="str">
        <f ca="1">IF($B$14=0,0,IF(K98=$A$18,IF(ABS(((J98+L98+M98)/3)-$F$8)&lt;Foglio2!$B$22,H98,""),O98))</f>
        <v/>
      </c>
      <c r="P98" s="3"/>
      <c r="Q98" s="3"/>
      <c r="R98" s="3"/>
    </row>
    <row r="99" spans="1:18" x14ac:dyDescent="0.25">
      <c r="A99" s="6">
        <f t="shared" si="14"/>
        <v>74.989171549479124</v>
      </c>
      <c r="B99" s="6">
        <f>IF(Foglio2!$B$20=0,(($B$129-$B$69)/60)+B98,((0.000000009989279499*C99^6-0.000006306045622*C99^5+0.000484825656*C99^4-0.01426446279*C99^3+0.17997837523*C99^2-0.8432145333*C99+1.3036332968)*($B$7-$B$8))+$B$8)</f>
        <v>4.450780553436279</v>
      </c>
      <c r="C99" s="3">
        <f>IF(((Foglio2!$B$19*24)+(A99/60))&lt;3,((Foglio2!$B$19*24)+(A99/60))+24,IF(((Foglio2!$B$19*24)+(A99/60))&gt;27,((Foglio2!$B$19*24)+(A99/60))-(E99*24),((Foglio2!$B$19*24)+(A99/60))))</f>
        <v>22.333152859157984</v>
      </c>
      <c r="D99" s="6">
        <f t="shared" si="13"/>
        <v>5.450780553436279</v>
      </c>
      <c r="E99" s="2">
        <f>MIN(ODD((((Foglio2!$B$19*24)+(A99/60))-3.5)/24),EVEN((((Foglio2!$B$19*24)+(A99/60))-3.5)/24))-1</f>
        <v>0</v>
      </c>
      <c r="F99" s="3"/>
      <c r="G99" s="2"/>
      <c r="H99" s="6">
        <f t="shared" si="15"/>
        <v>99.014121093750006</v>
      </c>
      <c r="I99" s="5">
        <f t="shared" ref="I99:I132" si="19">(I98+(($I$133-$I$33)/100))</f>
        <v>5435.904734161375</v>
      </c>
      <c r="J99" s="3">
        <f t="shared" ca="1" si="16"/>
        <v>5.8444322618401712</v>
      </c>
      <c r="K99" s="3">
        <f t="shared" ref="K99:K132" si="20">EVEN(I99)</f>
        <v>5436</v>
      </c>
      <c r="L99" s="3">
        <f t="shared" ca="1" si="17"/>
        <v>5.8417787297516064</v>
      </c>
      <c r="M99" s="3">
        <f t="shared" ca="1" si="18"/>
        <v>5.894528523298356</v>
      </c>
      <c r="N99" s="3"/>
      <c r="O99" s="3" t="str">
        <f ca="1">IF($B$14=0,0,IF(K99=$A$18,IF(ABS(((J99+L99+M99)/3)-$F$8)&lt;Foglio2!$B$22,H99,""),O99))</f>
        <v/>
      </c>
      <c r="P99" s="3"/>
      <c r="Q99" s="3"/>
      <c r="R99" s="3"/>
    </row>
    <row r="100" spans="1:18" x14ac:dyDescent="0.25">
      <c r="A100" s="6">
        <f t="shared" si="14"/>
        <v>77.48759629991315</v>
      </c>
      <c r="B100" s="6">
        <f>IF(Foglio2!$B$20=0,(($B$129-$B$69)/60)+B99,((0.000000009989279499*C100^6-0.000006306045622*C100^5+0.000484825656*C100^4-0.01426446279*C100^3+0.17997837523*C100^2-0.8432145333*C100+1.3036332968)*($B$7-$B$8))+$B$8)</f>
        <v>4.429565514894624</v>
      </c>
      <c r="C100" s="3">
        <f>IF(((Foglio2!$B$19*24)+(A100/60))&lt;3,((Foglio2!$B$19*24)+(A100/60))+24,IF(((Foglio2!$B$19*24)+(A100/60))&gt;27,((Foglio2!$B$19*24)+(A100/60))-(E100*24),((Foglio2!$B$19*24)+(A100/60))))</f>
        <v>22.374793271665219</v>
      </c>
      <c r="D100" s="6">
        <f t="shared" si="13"/>
        <v>5.429565514894624</v>
      </c>
      <c r="E100" s="2">
        <f>MIN(ODD((((Foglio2!$B$19*24)+(A100/60))-3.5)/24),EVEN((((Foglio2!$B$19*24)+(A100/60))-3.5)/24))-1</f>
        <v>0</v>
      </c>
      <c r="F100" s="3"/>
      <c r="G100" s="2"/>
      <c r="H100" s="6">
        <f t="shared" si="15"/>
        <v>100.54414062499998</v>
      </c>
      <c r="I100" s="5">
        <f t="shared" si="19"/>
        <v>5518.2366240729107</v>
      </c>
      <c r="J100" s="3">
        <f t="shared" ca="1" si="16"/>
        <v>5.799529188726317</v>
      </c>
      <c r="K100" s="3">
        <f t="shared" si="20"/>
        <v>5520</v>
      </c>
      <c r="L100" s="3">
        <f t="shared" ca="1" si="17"/>
        <v>5.796947744610371</v>
      </c>
      <c r="M100" s="3">
        <f t="shared" ca="1" si="18"/>
        <v>5.8482609100076672</v>
      </c>
      <c r="N100" s="3"/>
      <c r="O100" s="3" t="str">
        <f ca="1">IF($B$14=0,0,IF(K100=$A$18,IF(ABS(((J100+L100+M100)/3)-$F$8)&lt;Foglio2!$B$22,H100,""),O100))</f>
        <v/>
      </c>
      <c r="P100" s="3"/>
      <c r="Q100" s="3"/>
      <c r="R100" s="3"/>
    </row>
    <row r="101" spans="1:18" x14ac:dyDescent="0.25">
      <c r="A101" s="6">
        <f t="shared" si="14"/>
        <v>79.986021050347176</v>
      </c>
      <c r="B101" s="6">
        <f>IF(Foglio2!$B$20=0,(($B$129-$B$69)/60)+B100,((0.000000009989279499*C101^6-0.000006306045622*C101^5+0.000484825656*C101^4-0.01426446279*C101^3+0.17997837523*C101^2-0.8432145333*C101+1.3036332968)*($B$7-$B$8))+$B$8)</f>
        <v>4.408661951915879</v>
      </c>
      <c r="C101" s="3">
        <f>IF(((Foglio2!$B$19*24)+(A101/60))&lt;3,((Foglio2!$B$19*24)+(A101/60))+24,IF(((Foglio2!$B$19*24)+(A101/60))&gt;27,((Foglio2!$B$19*24)+(A101/60))-(E101*24),((Foglio2!$B$19*24)+(A101/60))))</f>
        <v>22.416433684172453</v>
      </c>
      <c r="D101" s="6">
        <f t="shared" si="13"/>
        <v>5.408661951915879</v>
      </c>
      <c r="E101" s="2">
        <f>MIN(ODD((((Foglio2!$B$19*24)+(A101/60))-3.5)/24),EVEN((((Foglio2!$B$19*24)+(A101/60))-3.5)/24))-1</f>
        <v>0</v>
      </c>
      <c r="F101" s="3"/>
      <c r="G101" s="2"/>
      <c r="H101" s="6">
        <f t="shared" si="15"/>
        <v>102.03773111979164</v>
      </c>
      <c r="I101" s="5">
        <f t="shared" si="19"/>
        <v>5600.5685139844463</v>
      </c>
      <c r="J101" s="3">
        <f t="shared" ca="1" si="16"/>
        <v>5.7568560531514965</v>
      </c>
      <c r="K101" s="3">
        <f t="shared" si="20"/>
        <v>5602</v>
      </c>
      <c r="L101" s="3">
        <f t="shared" ca="1" si="17"/>
        <v>5.7543423262469053</v>
      </c>
      <c r="M101" s="3">
        <f t="shared" ca="1" si="18"/>
        <v>5.8043060927836256</v>
      </c>
      <c r="N101" s="3"/>
      <c r="O101" s="3" t="str">
        <f ca="1">IF($B$14=0,0,IF(K101=$A$18,IF(ABS(((J101+L101+M101)/3)-$F$8)&lt;Foglio2!$B$22,H101,""),O101))</f>
        <v/>
      </c>
      <c r="P101" s="3"/>
      <c r="Q101" s="3"/>
      <c r="R101" s="3"/>
    </row>
    <row r="102" spans="1:18" x14ac:dyDescent="0.25">
      <c r="A102" s="6">
        <f t="shared" si="14"/>
        <v>82.484445800781202</v>
      </c>
      <c r="B102" s="6">
        <f>IF(Foglio2!$B$20=0,(($B$129-$B$69)/60)+B101,((0.000000009989279499*C102^6-0.000006306045622*C102^5+0.000484825656*C102^4-0.01426446279*C102^3+0.17997837523*C102^2-0.8432145333*C102+1.3036332968)*($B$7-$B$8))+$B$8)</f>
        <v>4.3880690173544581</v>
      </c>
      <c r="C102" s="3">
        <f>IF(((Foglio2!$B$19*24)+(A102/60))&lt;3,((Foglio2!$B$19*24)+(A102/60))+24,IF(((Foglio2!$B$19*24)+(A102/60))&gt;27,((Foglio2!$B$19*24)+(A102/60))-(E102*24),((Foglio2!$B$19*24)+(A102/60))))</f>
        <v>22.458074096679685</v>
      </c>
      <c r="D102" s="6">
        <f t="shared" si="13"/>
        <v>5.3880690173544581</v>
      </c>
      <c r="E102" s="2">
        <f>MIN(ODD((((Foglio2!$B$19*24)+(A102/60))-3.5)/24),EVEN((((Foglio2!$B$19*24)+(A102/60))-3.5)/24))-1</f>
        <v>0</v>
      </c>
      <c r="F102" s="3"/>
      <c r="G102" s="2"/>
      <c r="H102" s="6">
        <f t="shared" si="15"/>
        <v>103.53132161458333</v>
      </c>
      <c r="I102" s="5">
        <f t="shared" si="19"/>
        <v>5682.900403895982</v>
      </c>
      <c r="J102" s="3">
        <f t="shared" ca="1" si="16"/>
        <v>5.7152871426942164</v>
      </c>
      <c r="K102" s="3">
        <f t="shared" si="20"/>
        <v>5684</v>
      </c>
      <c r="L102" s="3">
        <f t="shared" ca="1" si="17"/>
        <v>5.7128386322936437</v>
      </c>
      <c r="M102" s="3">
        <f t="shared" ca="1" si="18"/>
        <v>5.7615029435637748</v>
      </c>
      <c r="N102" s="3"/>
      <c r="O102" s="3" t="str">
        <f ca="1">IF($B$14=0,0,IF(K102=$A$18,IF(ABS(((J102+L102+M102)/3)-$F$8)&lt;Foglio2!$B$22,H102,""),O102))</f>
        <v/>
      </c>
      <c r="P102" s="3"/>
      <c r="Q102" s="3"/>
      <c r="R102" s="3"/>
    </row>
    <row r="103" spans="1:18" x14ac:dyDescent="0.25">
      <c r="A103" s="6">
        <f t="shared" si="14"/>
        <v>84.982870551215228</v>
      </c>
      <c r="B103" s="6">
        <f>IF(Foglio2!$B$20=0,(($B$129-$B$69)/60)+B102,((0.000000009989279499*C103^6-0.000006306045622*C103^5+0.000484825656*C103^4-0.01426446279*C103^3+0.17997837523*C103^2-0.8432145333*C103+1.3036332968)*($B$7-$B$8))+$B$8)</f>
        <v>4.3677857688137367</v>
      </c>
      <c r="C103" s="3">
        <f>IF(((Foglio2!$B$19*24)+(A103/60))&lt;3,((Foglio2!$B$19*24)+(A103/60))+24,IF(((Foglio2!$B$19*24)+(A103/60))&gt;27,((Foglio2!$B$19*24)+(A103/60))-(E103*24),((Foglio2!$B$19*24)+(A103/60))))</f>
        <v>22.499714509186919</v>
      </c>
      <c r="D103" s="6">
        <f t="shared" si="13"/>
        <v>5.3677857688137367</v>
      </c>
      <c r="E103" s="2">
        <f>MIN(ODD((((Foglio2!$B$19*24)+(A103/60))-3.5)/24),EVEN((((Foglio2!$B$19*24)+(A103/60))-3.5)/24))-1</f>
        <v>0</v>
      </c>
      <c r="F103" s="3"/>
      <c r="G103" s="2"/>
      <c r="H103" s="6">
        <f t="shared" si="15"/>
        <v>105.02491210937498</v>
      </c>
      <c r="I103" s="5">
        <f t="shared" si="19"/>
        <v>5765.2322938075176</v>
      </c>
      <c r="J103" s="3">
        <f t="shared" ca="1" si="16"/>
        <v>5.6747821402482428</v>
      </c>
      <c r="K103" s="3">
        <f t="shared" si="20"/>
        <v>5766</v>
      </c>
      <c r="L103" s="3">
        <f t="shared" ca="1" si="17"/>
        <v>5.6723964599501739</v>
      </c>
      <c r="M103" s="3">
        <f t="shared" ca="1" si="18"/>
        <v>5.7198089670746812</v>
      </c>
      <c r="N103" s="3"/>
      <c r="O103" s="3">
        <f ca="1">IF($B$14=0,0,IF(K103=$A$18,IF(ABS(((J103+L103+M103)/3)-$F$8)&lt;Foglio2!$B$22,H103,""),O103))</f>
        <v>105.02491210937498</v>
      </c>
      <c r="P103" s="3"/>
      <c r="Q103" s="3"/>
      <c r="R103" s="3"/>
    </row>
    <row r="104" spans="1:18" x14ac:dyDescent="0.25">
      <c r="A104" s="6">
        <f t="shared" si="14"/>
        <v>87.481295301649254</v>
      </c>
      <c r="B104" s="6">
        <f>IF(Foglio2!$B$20=0,(($B$129-$B$69)/60)+B103,((0.000000009989279499*C104^6-0.000006306045622*C104^5+0.000484825656*C104^4-0.01426446279*C104^3+0.17997837523*C104^2-0.8432145333*C104+1.3036332968)*($B$7-$B$8))+$B$8)</f>
        <v>4.3478111679743003</v>
      </c>
      <c r="C104" s="3">
        <f>IF(((Foglio2!$B$19*24)+(A104/60))&lt;3,((Foglio2!$B$19*24)+(A104/60))+24,IF(((Foglio2!$B$19*24)+(A104/60))&gt;27,((Foglio2!$B$19*24)+(A104/60))-(E104*24),((Foglio2!$B$19*24)+(A104/60))))</f>
        <v>22.541354921694154</v>
      </c>
      <c r="D104" s="6">
        <f t="shared" si="13"/>
        <v>5.3478111679743003</v>
      </c>
      <c r="E104" s="2">
        <f>MIN(ODD((((Foglio2!$B$19*24)+(A104/60))-3.5)/24),EVEN((((Foglio2!$B$19*24)+(A104/60))-3.5)/24))-1</f>
        <v>0</v>
      </c>
      <c r="F104" s="3"/>
      <c r="G104" s="2"/>
      <c r="H104" s="6">
        <f t="shared" si="15"/>
        <v>106.51850260416667</v>
      </c>
      <c r="I104" s="5">
        <f t="shared" si="19"/>
        <v>5847.5641837190533</v>
      </c>
      <c r="J104" s="3">
        <f t="shared" ca="1" si="16"/>
        <v>5.63530256001025</v>
      </c>
      <c r="K104" s="3">
        <f t="shared" si="20"/>
        <v>5848</v>
      </c>
      <c r="L104" s="3">
        <f t="shared" ca="1" si="17"/>
        <v>5.6329774317282997</v>
      </c>
      <c r="M104" s="3">
        <f t="shared" ca="1" si="18"/>
        <v>5.679183614188732</v>
      </c>
      <c r="N104" s="3"/>
      <c r="O104" s="3">
        <f ca="1">IF($B$14=0,0,IF(K104=$A$18,IF(ABS(((J104+L104+M104)/3)-$F$8)&lt;Foglio2!$B$22,H104,""),O104))</f>
        <v>106.51850260416667</v>
      </c>
      <c r="P104" s="3"/>
      <c r="Q104" s="3"/>
      <c r="R104" s="3"/>
    </row>
    <row r="105" spans="1:18" x14ac:dyDescent="0.25">
      <c r="A105" s="6">
        <f t="shared" si="14"/>
        <v>89.97972005208328</v>
      </c>
      <c r="B105" s="6">
        <f>IF(Foglio2!$B$20=0,(($B$129-$B$69)/60)+B104,((0.000000009989279499*C105^6-0.000006306045622*C105^5+0.000484825656*C105^4-0.01426446279*C105^3+0.17997837523*C105^2-0.8432145333*C105+1.3036332968)*($B$7-$B$8))+$B$8)</f>
        <v>4.3281440799248161</v>
      </c>
      <c r="C105" s="3">
        <f>IF(((Foglio2!$B$19*24)+(A105/60))&lt;3,((Foglio2!$B$19*24)+(A105/60))+24,IF(((Foglio2!$B$19*24)+(A105/60))&gt;27,((Foglio2!$B$19*24)+(A105/60))-(E105*24),((Foglio2!$B$19*24)+(A105/60))))</f>
        <v>22.582995334201385</v>
      </c>
      <c r="D105" s="6">
        <f t="shared" si="13"/>
        <v>5.3281440799248161</v>
      </c>
      <c r="E105" s="2">
        <f>MIN(ODD((((Foglio2!$B$19*24)+(A105/60))-3.5)/24),EVEN((((Foglio2!$B$19*24)+(A105/60))-3.5)/24))-1</f>
        <v>0</v>
      </c>
      <c r="F105" s="3"/>
      <c r="G105" s="2"/>
      <c r="H105" s="6">
        <f t="shared" si="15"/>
        <v>108.01209309895833</v>
      </c>
      <c r="I105" s="5">
        <f t="shared" si="19"/>
        <v>5929.8960736305889</v>
      </c>
      <c r="J105" s="3">
        <f t="shared" ca="1" si="16"/>
        <v>5.5968116518599587</v>
      </c>
      <c r="K105" s="3">
        <f t="shared" si="20"/>
        <v>5930</v>
      </c>
      <c r="L105" s="3">
        <f t="shared" ca="1" si="17"/>
        <v>5.5945449001823189</v>
      </c>
      <c r="M105" s="3">
        <f t="shared" ca="1" si="18"/>
        <v>5.6395881795492775</v>
      </c>
      <c r="N105" s="3"/>
      <c r="O105" s="3">
        <f ca="1">IF($B$14=0,0,IF(K105=$A$18,IF(ABS(((J105+L105+M105)/3)-$F$8)&lt;Foglio2!$B$22,H105,""),O105))</f>
        <v>108.01209309895833</v>
      </c>
      <c r="P105" s="3"/>
      <c r="Q105" s="3"/>
      <c r="R105" s="3"/>
    </row>
    <row r="106" spans="1:18" x14ac:dyDescent="0.25">
      <c r="A106" s="6">
        <f t="shared" si="14"/>
        <v>92.478144802517306</v>
      </c>
      <c r="B106" s="6">
        <f>IF(Foglio2!$B$20=0,(($B$129-$B$69)/60)+B105,((0.000000009989279499*C106^6-0.000006306045622*C106^5+0.000484825656*C106^4-0.01426446279*C106^3+0.17997837523*C106^2-0.8432145333*C106+1.3036332968)*($B$7-$B$8))+$B$8)</f>
        <v>4.3087832724896105</v>
      </c>
      <c r="C106" s="3">
        <f>IF(((Foglio2!$B$19*24)+(A106/60))&lt;3,((Foglio2!$B$19*24)+(A106/60))+24,IF(((Foglio2!$B$19*24)+(A106/60))&gt;27,((Foglio2!$B$19*24)+(A106/60))-(E106*24),((Foglio2!$B$19*24)+(A106/60))))</f>
        <v>22.62463574670862</v>
      </c>
      <c r="D106" s="6">
        <f t="shared" si="13"/>
        <v>5.3087832724896105</v>
      </c>
      <c r="E106" s="2">
        <f>MIN(ODD((((Foglio2!$B$19*24)+(A106/60))-3.5)/24),EVEN((((Foglio2!$B$19*24)+(A106/60))-3.5)/24))-1</f>
        <v>0</v>
      </c>
      <c r="F106" s="3"/>
      <c r="G106" s="2"/>
      <c r="H106" s="6">
        <f t="shared" si="15"/>
        <v>109.54211263020834</v>
      </c>
      <c r="I106" s="5">
        <f t="shared" si="19"/>
        <v>6012.2279635421246</v>
      </c>
      <c r="J106" s="3">
        <f t="shared" ca="1" si="16"/>
        <v>5.5583703930416579</v>
      </c>
      <c r="K106" s="3">
        <f t="shared" si="20"/>
        <v>6014</v>
      </c>
      <c r="L106" s="3">
        <f t="shared" ca="1" si="17"/>
        <v>5.5561612878817561</v>
      </c>
      <c r="M106" s="3">
        <f t="shared" ca="1" si="18"/>
        <v>5.6000562851729185</v>
      </c>
      <c r="N106" s="3"/>
      <c r="O106" s="3">
        <f ca="1">IF($B$14=0,0,IF(K106=$A$18,IF(ABS(((J106+L106+M106)/3)-$F$8)&lt;Foglio2!$B$22,H106,""),O106))</f>
        <v>109.54211263020834</v>
      </c>
      <c r="P106" s="3"/>
      <c r="Q106" s="3"/>
      <c r="R106" s="3"/>
    </row>
    <row r="107" spans="1:18" x14ac:dyDescent="0.25">
      <c r="A107" s="6">
        <f t="shared" si="14"/>
        <v>94.976569552951332</v>
      </c>
      <c r="B107" s="6">
        <f>IF(Foglio2!$B$20=0,(($B$129-$B$69)/60)+B106,((0.000000009989279499*C107^6-0.000006306045622*C107^5+0.000484825656*C107^4-0.01426446279*C107^3+0.17997837523*C107^2-0.8432145333*C107+1.3036332968)*($B$7-$B$8))+$B$8)</f>
        <v>4.2897274155605638</v>
      </c>
      <c r="C107" s="3">
        <f>IF(((Foglio2!$B$19*24)+(A107/60))&lt;3,((Foglio2!$B$19*24)+(A107/60))+24,IF(((Foglio2!$B$19*24)+(A107/60))&gt;27,((Foglio2!$B$19*24)+(A107/60))-(E107*24),((Foglio2!$B$19*24)+(A107/60))))</f>
        <v>22.666276159215855</v>
      </c>
      <c r="D107" s="6">
        <f t="shared" si="13"/>
        <v>5.2897274155605638</v>
      </c>
      <c r="E107" s="2">
        <f>MIN(ODD((((Foglio2!$B$19*24)+(A107/60))-3.5)/24),EVEN((((Foglio2!$B$19*24)+(A107/60))-3.5)/24))-1</f>
        <v>0</v>
      </c>
      <c r="F107" s="3"/>
      <c r="G107" s="2"/>
      <c r="H107" s="6">
        <f t="shared" si="15"/>
        <v>111.03570312499998</v>
      </c>
      <c r="I107" s="5">
        <f t="shared" si="19"/>
        <v>6094.5598534536603</v>
      </c>
      <c r="J107" s="3">
        <f t="shared" ca="1" si="16"/>
        <v>5.5217751095894645</v>
      </c>
      <c r="K107" s="3">
        <f t="shared" si="20"/>
        <v>6096</v>
      </c>
      <c r="L107" s="3">
        <f t="shared" ca="1" si="17"/>
        <v>5.5196202699698471</v>
      </c>
      <c r="M107" s="3">
        <f t="shared" ca="1" si="18"/>
        <v>5.5624343997675822</v>
      </c>
      <c r="N107" s="3"/>
      <c r="O107" s="3">
        <f ca="1">IF($B$14=0,0,IF(K107=$A$18,IF(ABS(((J107+L107+M107)/3)-$F$8)&lt;Foglio2!$B$22,H107,""),O107))</f>
        <v>111.03570312499998</v>
      </c>
      <c r="P107" s="3"/>
      <c r="Q107" s="3"/>
      <c r="R107" s="3"/>
    </row>
    <row r="108" spans="1:18" x14ac:dyDescent="0.25">
      <c r="A108" s="6">
        <f t="shared" si="14"/>
        <v>97.474994303385358</v>
      </c>
      <c r="B108" s="6">
        <f>IF(Foglio2!$B$20=0,(($B$129-$B$69)/60)+B107,((0.000000009989279499*C108^6-0.000006306045622*C108^5+0.000484825656*C108^4-0.01426446279*C108^3+0.17997837523*C108^2-0.8432145333*C108+1.3036332968)*($B$7-$B$8))+$B$8)</f>
        <v>4.2709750804284292</v>
      </c>
      <c r="C108" s="3">
        <f>IF(((Foglio2!$B$19*24)+(A108/60))&lt;3,((Foglio2!$B$19*24)+(A108/60))+24,IF(((Foglio2!$B$19*24)+(A108/60))&gt;27,((Foglio2!$B$19*24)+(A108/60))-(E108*24),((Foglio2!$B$19*24)+(A108/60))))</f>
        <v>22.707916571723089</v>
      </c>
      <c r="D108" s="6">
        <f t="shared" si="13"/>
        <v>5.2709750804284292</v>
      </c>
      <c r="E108" s="2">
        <f>MIN(ODD((((Foglio2!$B$19*24)+(A108/60))-3.5)/24),EVEN((((Foglio2!$B$19*24)+(A108/60))-3.5)/24))-1</f>
        <v>0</v>
      </c>
      <c r="F108" s="3"/>
      <c r="G108" s="2"/>
      <c r="H108" s="6">
        <f t="shared" si="15"/>
        <v>112.52929361979163</v>
      </c>
      <c r="I108" s="5">
        <f t="shared" si="19"/>
        <v>6176.8917433651959</v>
      </c>
      <c r="J108" s="3">
        <f t="shared" ca="1" si="16"/>
        <v>5.486067022987358</v>
      </c>
      <c r="K108" s="3">
        <f t="shared" si="20"/>
        <v>6178</v>
      </c>
      <c r="L108" s="3">
        <f t="shared" ca="1" si="17"/>
        <v>5.483964552928402</v>
      </c>
      <c r="M108" s="3">
        <f t="shared" ca="1" si="18"/>
        <v>5.5257356394672703</v>
      </c>
      <c r="N108" s="3"/>
      <c r="O108" s="3">
        <f ca="1">IF($B$14=0,0,IF(K108=$A$18,IF(ABS(((J108+L108+M108)/3)-$F$8)&lt;Foglio2!$B$22,H108,""),O108))</f>
        <v>112.52929361979163</v>
      </c>
      <c r="P108" s="3"/>
      <c r="Q108" s="3"/>
      <c r="R108" s="3"/>
    </row>
    <row r="109" spans="1:18" x14ac:dyDescent="0.25">
      <c r="A109" s="6">
        <f t="shared" si="14"/>
        <v>99.973419053819384</v>
      </c>
      <c r="B109" s="6">
        <f>IF(Foglio2!$B$20=0,(($B$129-$B$69)/60)+B108,((0.000000009989279499*C109^6-0.000006306045622*C109^5+0.000484825656*C109^4-0.01426446279*C109^3+0.17997837523*C109^2-0.8432145333*C109+1.3036332968)*($B$7-$B$8))+$B$8)</f>
        <v>4.2525247391108261</v>
      </c>
      <c r="C109" s="3">
        <f>IF(((Foglio2!$B$19*24)+(A109/60))&lt;3,((Foglio2!$B$19*24)+(A109/60))+24,IF(((Foglio2!$B$19*24)+(A109/60))&gt;27,((Foglio2!$B$19*24)+(A109/60))-(E109*24),((Foglio2!$B$19*24)+(A109/60))))</f>
        <v>22.74955698423032</v>
      </c>
      <c r="D109" s="6">
        <f t="shared" si="13"/>
        <v>5.2525247391108261</v>
      </c>
      <c r="E109" s="2">
        <f>MIN(ODD((((Foglio2!$B$19*24)+(A109/60))-3.5)/24),EVEN((((Foglio2!$B$19*24)+(A109/60))-3.5)/24))-1</f>
        <v>0</v>
      </c>
      <c r="F109" s="3"/>
      <c r="G109" s="2"/>
      <c r="H109" s="6">
        <f t="shared" si="15"/>
        <v>114.02288411458332</v>
      </c>
      <c r="I109" s="5">
        <f t="shared" si="19"/>
        <v>6259.2236332767316</v>
      </c>
      <c r="J109" s="3">
        <f t="shared" ca="1" si="16"/>
        <v>5.4512155091468513</v>
      </c>
      <c r="K109" s="3">
        <f t="shared" si="20"/>
        <v>6260</v>
      </c>
      <c r="L109" s="3">
        <f t="shared" ca="1" si="17"/>
        <v>5.4491635957476037</v>
      </c>
      <c r="M109" s="3">
        <f t="shared" ca="1" si="18"/>
        <v>5.4899278001009248</v>
      </c>
      <c r="N109" s="3"/>
      <c r="O109" s="3">
        <f ca="1">IF($B$14=0,0,IF(K109=$A$18,IF(ABS(((J109+L109+M109)/3)-$F$8)&lt;Foglio2!$B$22,H109,""),O109))</f>
        <v>114.02288411458332</v>
      </c>
      <c r="P109" s="3"/>
      <c r="Q109" s="3"/>
      <c r="R109" s="3"/>
    </row>
    <row r="110" spans="1:18" x14ac:dyDescent="0.25">
      <c r="A110" s="6">
        <f t="shared" si="14"/>
        <v>102.47184380425341</v>
      </c>
      <c r="B110" s="6">
        <f>IF(Foglio2!$B$20=0,(($B$129-$B$69)/60)+B109,((0.000000009989279499*C110^6-0.000006306045622*C110^5+0.000484825656*C110^4-0.01426446279*C110^3+0.17997837523*C110^2-0.8432145333*C110+1.3036332968)*($B$7-$B$8))+$B$8)</f>
        <v>4.2343747636866604</v>
      </c>
      <c r="C110" s="3">
        <f>IF(((Foglio2!$B$19*24)+(A110/60))&lt;3,((Foglio2!$B$19*24)+(A110/60))+24,IF(((Foglio2!$B$19*24)+(A110/60))&gt;27,((Foglio2!$B$19*24)+(A110/60))-(E110*24),((Foglio2!$B$19*24)+(A110/60))))</f>
        <v>22.791197396737555</v>
      </c>
      <c r="D110" s="6">
        <f t="shared" si="13"/>
        <v>5.2343747636866604</v>
      </c>
      <c r="E110" s="2">
        <f>MIN(ODD((((Foglio2!$B$19*24)+(A110/60))-3.5)/24),EVEN((((Foglio2!$B$19*24)+(A110/60))-3.5)/24))-1</f>
        <v>0</v>
      </c>
      <c r="F110" s="3"/>
      <c r="G110" s="2"/>
      <c r="H110" s="6">
        <f t="shared" si="15"/>
        <v>115.51647460937497</v>
      </c>
      <c r="I110" s="5">
        <f t="shared" si="19"/>
        <v>6341.5555231882672</v>
      </c>
      <c r="J110" s="3">
        <f t="shared" ca="1" si="16"/>
        <v>5.4171912765893824</v>
      </c>
      <c r="K110" s="3">
        <f t="shared" si="20"/>
        <v>6342</v>
      </c>
      <c r="L110" s="3">
        <f t="shared" ca="1" si="17"/>
        <v>5.415188185834209</v>
      </c>
      <c r="M110" s="3">
        <f t="shared" ca="1" si="18"/>
        <v>5.4549800903093999</v>
      </c>
      <c r="N110" s="3"/>
      <c r="O110" s="3">
        <f ca="1">IF($B$14=0,0,IF(K110=$A$18,IF(ABS(((J110+L110+M110)/3)-$F$8)&lt;Foglio2!$B$22,H110,""),O110))</f>
        <v>115.51647460937497</v>
      </c>
      <c r="P110" s="3"/>
      <c r="Q110" s="3"/>
      <c r="R110" s="3"/>
    </row>
    <row r="111" spans="1:18" x14ac:dyDescent="0.25">
      <c r="A111" s="6">
        <f t="shared" si="14"/>
        <v>104.97026855468744</v>
      </c>
      <c r="B111" s="6">
        <f>IF(Foglio2!$B$20=0,(($B$129-$B$69)/60)+B110,((0.000000009989279499*C111^6-0.000006306045622*C111^5+0.000484825656*C111^4-0.01426446279*C111^3+0.17997837523*C111^2-0.8432145333*C111+1.3036332968)*($B$7-$B$8))+$B$8)</f>
        <v>4.2165234256250139</v>
      </c>
      <c r="C111" s="3">
        <f>IF(((Foglio2!$B$19*24)+(A111/60))&lt;3,((Foglio2!$B$19*24)+(A111/60))+24,IF(((Foglio2!$B$19*24)+(A111/60))&gt;27,((Foglio2!$B$19*24)+(A111/60))-(E111*24),((Foglio2!$B$19*24)+(A111/60))))</f>
        <v>22.83283780924479</v>
      </c>
      <c r="D111" s="6">
        <f t="shared" si="13"/>
        <v>5.2165234256250139</v>
      </c>
      <c r="E111" s="2">
        <f>MIN(ODD((((Foglio2!$B$19*24)+(A111/60))-3.5)/24),EVEN((((Foglio2!$B$19*24)+(A111/60))-3.5)/24))-1</f>
        <v>0</v>
      </c>
      <c r="F111" s="3"/>
      <c r="G111" s="2"/>
      <c r="H111" s="6">
        <f t="shared" si="15"/>
        <v>117.01006510416666</v>
      </c>
      <c r="I111" s="5">
        <f t="shared" si="19"/>
        <v>6423.8874130998029</v>
      </c>
      <c r="J111" s="3">
        <f t="shared" ca="1" si="16"/>
        <v>5.3839662994238333</v>
      </c>
      <c r="K111" s="3">
        <f t="shared" si="20"/>
        <v>6424</v>
      </c>
      <c r="L111" s="3">
        <f t="shared" ca="1" si="17"/>
        <v>5.3820103722246904</v>
      </c>
      <c r="M111" s="3">
        <f t="shared" ca="1" si="18"/>
        <v>5.4208630599889869</v>
      </c>
      <c r="N111" s="3"/>
      <c r="O111" s="3">
        <f ca="1">IF($B$14=0,0,IF(K111=$A$18,IF(ABS(((J111+L111+M111)/3)-$F$8)&lt;Foglio2!$B$22,H111,""),O111))</f>
        <v>117.01006510416666</v>
      </c>
      <c r="P111" s="3"/>
      <c r="Q111" s="3"/>
      <c r="R111" s="3"/>
    </row>
    <row r="112" spans="1:18" x14ac:dyDescent="0.25">
      <c r="A112" s="6">
        <f t="shared" si="14"/>
        <v>107.46869330512146</v>
      </c>
      <c r="B112" s="6">
        <f>IF(Foglio2!$B$20=0,(($B$129-$B$69)/60)+B111,((0.000000009989279499*C112^6-0.000006306045622*C112^5+0.000484825656*C112^4-0.01426446279*C112^3+0.17997837523*C112^2-0.8432145333*C112+1.3036332968)*($B$7-$B$8))+$B$8)</f>
        <v>4.1989688951204274</v>
      </c>
      <c r="C112" s="3">
        <f>IF(((Foglio2!$B$19*24)+(A112/60))&lt;3,((Foglio2!$B$19*24)+(A112/60))+24,IF(((Foglio2!$B$19*24)+(A112/60))&gt;27,((Foglio2!$B$19*24)+(A112/60))-(E112*24),((Foglio2!$B$19*24)+(A112/60))))</f>
        <v>22.874478221752025</v>
      </c>
      <c r="D112" s="6">
        <f t="shared" si="13"/>
        <v>5.1989688951204274</v>
      </c>
      <c r="E112" s="2">
        <f>MIN(ODD((((Foglio2!$B$19*24)+(A112/60))-3.5)/24),EVEN((((Foglio2!$B$19*24)+(A112/60))-3.5)/24))-1</f>
        <v>0</v>
      </c>
      <c r="F112" s="3"/>
      <c r="G112" s="2"/>
      <c r="H112" s="6">
        <f t="shared" si="15"/>
        <v>118.54008463541663</v>
      </c>
      <c r="I112" s="5">
        <f t="shared" si="19"/>
        <v>6506.2193030113385</v>
      </c>
      <c r="J112" s="3">
        <f t="shared" ca="1" si="16"/>
        <v>5.3507316594666969</v>
      </c>
      <c r="K112" s="3">
        <f t="shared" si="20"/>
        <v>6508</v>
      </c>
      <c r="L112" s="3">
        <f t="shared" ca="1" si="17"/>
        <v>5.3488224002682738</v>
      </c>
      <c r="M112" s="3">
        <f t="shared" ca="1" si="18"/>
        <v>5.3867457789114059</v>
      </c>
      <c r="N112" s="3"/>
      <c r="O112" s="3">
        <f ca="1">IF($B$14=0,0,IF(K112=$A$18,IF(ABS(((J112+L112+M112)/3)-$F$8)&lt;Foglio2!$B$22,H112,""),O112))</f>
        <v>118.54008463541663</v>
      </c>
      <c r="P112" s="3"/>
      <c r="Q112" s="3"/>
      <c r="R112" s="3"/>
    </row>
    <row r="113" spans="1:18" x14ac:dyDescent="0.25">
      <c r="A113" s="6">
        <f t="shared" si="14"/>
        <v>109.96711805555549</v>
      </c>
      <c r="B113" s="6">
        <f>IF(Foglio2!$B$20=0,(($B$129-$B$69)/60)+B112,((0.000000009989279499*C113^6-0.000006306045622*C113^5+0.000484825656*C113^4-0.01426446279*C113^3+0.17997837523*C113^2-0.8432145333*C113+1.3036332968)*($B$7-$B$8))+$B$8)</f>
        <v>4.181709240420191</v>
      </c>
      <c r="C113" s="3">
        <f>IF(((Foglio2!$B$19*24)+(A113/60))&lt;3,((Foglio2!$B$19*24)+(A113/60))+24,IF(((Foglio2!$B$19*24)+(A113/60))&gt;27,((Foglio2!$B$19*24)+(A113/60))-(E113*24),((Foglio2!$B$19*24)+(A113/60))))</f>
        <v>22.916118634259256</v>
      </c>
      <c r="D113" s="6">
        <f t="shared" si="13"/>
        <v>5.181709240420191</v>
      </c>
      <c r="E113" s="2">
        <f>MIN(ODD((((Foglio2!$B$19*24)+(A113/60))-3.5)/24),EVEN((((Foglio2!$B$19*24)+(A113/60))-3.5)/24))-1</f>
        <v>0</v>
      </c>
      <c r="F113" s="3"/>
      <c r="G113" s="2"/>
      <c r="H113" s="6">
        <f t="shared" si="15"/>
        <v>120.03367513020832</v>
      </c>
      <c r="I113" s="5">
        <f t="shared" si="19"/>
        <v>6588.5511929228742</v>
      </c>
      <c r="J113" s="3">
        <f t="shared" ca="1" si="16"/>
        <v>5.3190437668098323</v>
      </c>
      <c r="K113" s="3">
        <f t="shared" si="20"/>
        <v>6590</v>
      </c>
      <c r="L113" s="3">
        <f t="shared" ca="1" si="17"/>
        <v>5.3171785267721745</v>
      </c>
      <c r="M113" s="3">
        <f t="shared" ca="1" si="18"/>
        <v>5.3542253768886372</v>
      </c>
      <c r="N113" s="3"/>
      <c r="O113" s="3">
        <f ca="1">IF($B$14=0,0,IF(K113=$A$18,IF(ABS(((J113+L113+M113)/3)-$F$8)&lt;Foglio2!$B$22,H113,""),O113))</f>
        <v>120.03367513020832</v>
      </c>
      <c r="P113" s="3"/>
      <c r="Q113" s="3"/>
      <c r="R113" s="3"/>
    </row>
    <row r="114" spans="1:18" x14ac:dyDescent="0.25">
      <c r="A114" s="6">
        <f t="shared" si="14"/>
        <v>112.46554280598951</v>
      </c>
      <c r="B114" s="6">
        <f>IF(Foglio2!$B$20=0,(($B$129-$B$69)/60)+B113,((0.000000009989279499*C114^6-0.000006306045622*C114^5+0.000484825656*C114^4-0.01426446279*C114^3+0.17997837523*C114^2-0.8432145333*C114+1.3036332968)*($B$7-$B$8))+$B$8)</f>
        <v>4.1647424271619942</v>
      </c>
      <c r="C114" s="3">
        <f>IF(((Foglio2!$B$19*24)+(A114/60))&lt;3,((Foglio2!$B$19*24)+(A114/60))+24,IF(((Foglio2!$B$19*24)+(A114/60))&gt;27,((Foglio2!$B$19*24)+(A114/60))-(E114*24),((Foglio2!$B$19*24)+(A114/60))))</f>
        <v>22.95775904676649</v>
      </c>
      <c r="D114" s="6">
        <f t="shared" si="13"/>
        <v>5.1647424271619942</v>
      </c>
      <c r="E114" s="2">
        <f>MIN(ODD((((Foglio2!$B$19*24)+(A114/60))-3.5)/24),EVEN((((Foglio2!$B$19*24)+(A114/60))-3.5)/24))-1</f>
        <v>0</v>
      </c>
      <c r="F114" s="3"/>
      <c r="G114" s="2"/>
      <c r="H114" s="6">
        <f t="shared" si="15"/>
        <v>121.52726562499998</v>
      </c>
      <c r="I114" s="5">
        <f t="shared" si="19"/>
        <v>6670.8830828344098</v>
      </c>
      <c r="J114" s="3">
        <f t="shared" ca="1" si="16"/>
        <v>5.2880774433097448</v>
      </c>
      <c r="K114" s="3">
        <f t="shared" si="20"/>
        <v>6672</v>
      </c>
      <c r="L114" s="3">
        <f t="shared" ca="1" si="17"/>
        <v>5.2862547680522622</v>
      </c>
      <c r="M114" s="3">
        <f t="shared" ca="1" si="18"/>
        <v>5.3224540792440145</v>
      </c>
      <c r="N114" s="3"/>
      <c r="O114" s="3">
        <f ca="1">IF($B$14=0,0,IF(K114=$A$18,IF(ABS(((J114+L114+M114)/3)-$F$8)&lt;Foglio2!$B$22,H114,""),O114))</f>
        <v>121.52726562499998</v>
      </c>
      <c r="P114" s="3"/>
      <c r="Q114" s="3"/>
      <c r="R114" s="3"/>
    </row>
    <row r="115" spans="1:18" x14ac:dyDescent="0.25">
      <c r="A115" s="6">
        <f t="shared" si="14"/>
        <v>114.96396755642354</v>
      </c>
      <c r="B115" s="6">
        <f>IF(Foglio2!$B$20=0,(($B$129-$B$69)/60)+B114,((0.000000009989279499*C115^6-0.000006306045622*C115^5+0.000484825656*C115^4-0.01426446279*C115^3+0.17997837523*C115^2-0.8432145333*C115+1.3036332968)*($B$7-$B$8))+$B$8)</f>
        <v>4.1480663177038055</v>
      </c>
      <c r="C115" s="3">
        <f>IF(((Foglio2!$B$19*24)+(A115/60))&lt;3,((Foglio2!$B$19*24)+(A115/60))+24,IF(((Foglio2!$B$19*24)+(A115/60))&gt;27,((Foglio2!$B$19*24)+(A115/60))-(E115*24),((Foglio2!$B$19*24)+(A115/60))))</f>
        <v>22.999399459273725</v>
      </c>
      <c r="D115" s="6">
        <f t="shared" si="13"/>
        <v>5.1480663177038055</v>
      </c>
      <c r="E115" s="2">
        <f>MIN(ODD((((Foglio2!$B$19*24)+(A115/60))-3.5)/24),EVEN((((Foglio2!$B$19*24)+(A115/60))-3.5)/24))-1</f>
        <v>0</v>
      </c>
      <c r="F115" s="3"/>
      <c r="G115" s="2"/>
      <c r="H115" s="6">
        <f t="shared" si="15"/>
        <v>123.02085611979165</v>
      </c>
      <c r="I115" s="5">
        <f t="shared" si="19"/>
        <v>6753.2149727459455</v>
      </c>
      <c r="J115" s="3">
        <f t="shared" ca="1" si="16"/>
        <v>5.257809151393225</v>
      </c>
      <c r="K115" s="3">
        <f t="shared" si="20"/>
        <v>6754</v>
      </c>
      <c r="L115" s="3">
        <f t="shared" ca="1" si="17"/>
        <v>5.2560276476348458</v>
      </c>
      <c r="M115" s="3">
        <f t="shared" ca="1" si="18"/>
        <v>5.2914071883443867</v>
      </c>
      <c r="N115" s="3"/>
      <c r="O115" s="3">
        <f ca="1">IF($B$14=0,0,IF(K115=$A$18,IF(ABS(((J115+L115+M115)/3)-$F$8)&lt;Foglio2!$B$22,H115,""),O115))</f>
        <v>123.02085611979165</v>
      </c>
      <c r="P115" s="3"/>
      <c r="Q115" s="3"/>
      <c r="R115" s="3"/>
    </row>
    <row r="116" spans="1:18" x14ac:dyDescent="0.25">
      <c r="A116" s="6">
        <f t="shared" si="14"/>
        <v>117.46239230685757</v>
      </c>
      <c r="B116" s="6">
        <f>IF(Foglio2!$B$20=0,(($B$129-$B$69)/60)+B115,((0.000000009989279499*C116^6-0.000006306045622*C116^5+0.000484825656*C116^4-0.01426446279*C116^3+0.17997837523*C116^2-0.8432145333*C116+1.3036332968)*($B$7-$B$8))+$B$8)</f>
        <v>4.1316786704579416</v>
      </c>
      <c r="C116" s="3">
        <f>IF(((Foglio2!$B$19*24)+(A116/60))&lt;3,((Foglio2!$B$19*24)+(A116/60))+24,IF(((Foglio2!$B$19*24)+(A116/60))&gt;27,((Foglio2!$B$19*24)+(A116/60))-(E116*24),((Foglio2!$B$19*24)+(A116/60))))</f>
        <v>23.04103987178096</v>
      </c>
      <c r="D116" s="6">
        <f t="shared" si="13"/>
        <v>5.1316786704579416</v>
      </c>
      <c r="E116" s="2">
        <f>MIN(ODD((((Foglio2!$B$19*24)+(A116/60))-3.5)/24),EVEN((((Foglio2!$B$19*24)+(A116/60))-3.5)/24))-1</f>
        <v>0</v>
      </c>
      <c r="F116" s="3"/>
      <c r="G116" s="2"/>
      <c r="H116" s="6">
        <f t="shared" si="15"/>
        <v>124.51444661458331</v>
      </c>
      <c r="I116" s="5">
        <f t="shared" si="19"/>
        <v>6835.5468626574811</v>
      </c>
      <c r="J116" s="3">
        <f t="shared" ca="1" si="16"/>
        <v>5.228216334624058</v>
      </c>
      <c r="K116" s="3">
        <f t="shared" si="20"/>
        <v>6836</v>
      </c>
      <c r="L116" s="3">
        <f t="shared" ca="1" si="17"/>
        <v>5.2264746672066584</v>
      </c>
      <c r="M116" s="3">
        <f t="shared" ca="1" si="18"/>
        <v>5.2610610445043013</v>
      </c>
      <c r="N116" s="3"/>
      <c r="O116" s="3">
        <f ca="1">IF($B$14=0,0,IF(K116=$A$18,IF(ABS(((J116+L116+M116)/3)-$F$8)&lt;Foglio2!$B$22,H116,""),O116))</f>
        <v>124.51444661458331</v>
      </c>
      <c r="P116" s="3"/>
      <c r="Q116" s="3"/>
      <c r="R116" s="3"/>
    </row>
    <row r="117" spans="1:18" x14ac:dyDescent="0.25">
      <c r="A117" s="6">
        <f t="shared" si="14"/>
        <v>119.96081705729159</v>
      </c>
      <c r="B117" s="6">
        <f>IF(Foglio2!$B$20=0,(($B$129-$B$69)/60)+B116,((0.000000009989279499*C117^6-0.000006306045622*C117^5+0.000484825656*C117^4-0.01426446279*C117^3+0.17997837523*C117^2-0.8432145333*C117+1.3036332968)*($B$7-$B$8))+$B$8)</f>
        <v>4.115577139224496</v>
      </c>
      <c r="C117" s="3">
        <f>IF(((Foglio2!$B$19*24)+(A117/60))&lt;3,((Foglio2!$B$19*24)+(A117/60))+24,IF(((Foglio2!$B$19*24)+(A117/60))&gt;27,((Foglio2!$B$19*24)+(A117/60))-(E117*24),((Foglio2!$B$19*24)+(A117/60))))</f>
        <v>23.082680284288191</v>
      </c>
      <c r="D117" s="6">
        <f t="shared" si="13"/>
        <v>5.115577139224496</v>
      </c>
      <c r="E117" s="2">
        <f>MIN(ODD((((Foglio2!$B$19*24)+(A117/60))-3.5)/24),EVEN((((Foglio2!$B$19*24)+(A117/60))-3.5)/24))-1</f>
        <v>0</v>
      </c>
      <c r="F117" s="3"/>
      <c r="G117" s="2"/>
      <c r="H117" s="6">
        <f t="shared" si="15"/>
        <v>126.008037109375</v>
      </c>
      <c r="I117" s="5">
        <f t="shared" si="19"/>
        <v>6917.8787525690168</v>
      </c>
      <c r="J117" s="3">
        <f t="shared" ca="1" si="16"/>
        <v>5.1992773700660013</v>
      </c>
      <c r="K117" s="3">
        <f t="shared" si="20"/>
        <v>6918</v>
      </c>
      <c r="L117" s="3">
        <f t="shared" ca="1" si="17"/>
        <v>5.1975742591388121</v>
      </c>
      <c r="M117" s="3">
        <f t="shared" ca="1" si="18"/>
        <v>5.2313929752586192</v>
      </c>
      <c r="N117" s="3"/>
      <c r="O117" s="3">
        <f ca="1">IF($B$14=0,0,IF(K117=$A$18,IF(ABS(((J117+L117+M117)/3)-$F$8)&lt;Foglio2!$B$22,H117,""),O117))</f>
        <v>126.008037109375</v>
      </c>
      <c r="P117" s="3"/>
      <c r="Q117" s="3"/>
      <c r="R117" s="3"/>
    </row>
    <row r="118" spans="1:18" x14ac:dyDescent="0.25">
      <c r="A118" s="6">
        <f t="shared" si="14"/>
        <v>122.45924180772562</v>
      </c>
      <c r="B118" s="6">
        <f>IF(Foglio2!$B$20=0,(($B$129-$B$69)/60)+B117,((0.000000009989279499*C118^6-0.000006306045622*C118^5+0.000484825656*C118^4-0.01426446279*C118^3+0.17997837523*C118^2-0.8432145333*C118+1.3036332968)*($B$7-$B$8))+$B$8)</f>
        <v>4.0997592725261116</v>
      </c>
      <c r="C118" s="3">
        <f>IF(((Foglio2!$B$19*24)+(A118/60))&lt;3,((Foglio2!$B$19*24)+(A118/60))+24,IF(((Foglio2!$B$19*24)+(A118/60))&gt;27,((Foglio2!$B$19*24)+(A118/60))-(E118*24),((Foglio2!$B$19*24)+(A118/60))))</f>
        <v>23.124320696795426</v>
      </c>
      <c r="D118" s="6">
        <f t="shared" si="13"/>
        <v>5.0997592725261116</v>
      </c>
      <c r="E118" s="2">
        <f>MIN(ODD((((Foglio2!$B$19*24)+(A118/60))-3.5)/24),EVEN((((Foglio2!$B$19*24)+(A118/60))-3.5)/24))-1</f>
        <v>0</v>
      </c>
      <c r="F118" s="3"/>
      <c r="G118" s="2"/>
      <c r="H118" s="6">
        <f t="shared" si="15"/>
        <v>127.53805664062497</v>
      </c>
      <c r="I118" s="5">
        <f t="shared" si="19"/>
        <v>7000.2106424805525</v>
      </c>
      <c r="J118" s="3">
        <f t="shared" ca="1" si="16"/>
        <v>5.1702888766188195</v>
      </c>
      <c r="K118" s="3">
        <f t="shared" si="20"/>
        <v>7002</v>
      </c>
      <c r="L118" s="3">
        <f t="shared" ca="1" si="17"/>
        <v>5.168623990541044</v>
      </c>
      <c r="M118" s="3">
        <f t="shared" ca="1" si="18"/>
        <v>5.2016816661982315</v>
      </c>
      <c r="N118" s="3"/>
      <c r="O118" s="3">
        <f ca="1">IF($B$14=0,0,IF(K118=$A$18,IF(ABS(((J118+L118+M118)/3)-$F$8)&lt;Foglio2!$B$22,H118,""),O118))</f>
        <v>127.53805664062497</v>
      </c>
      <c r="P118" s="3"/>
      <c r="Q118" s="3"/>
      <c r="R118" s="3"/>
    </row>
    <row r="119" spans="1:18" x14ac:dyDescent="0.25">
      <c r="A119" s="6">
        <f t="shared" si="14"/>
        <v>124.95766655815964</v>
      </c>
      <c r="B119" s="6">
        <f>IF(Foglio2!$B$20=0,(($B$129-$B$69)/60)+B118,((0.000000009989279499*C119^6-0.000006306045622*C119^5+0.000484825656*C119^4-0.01426446279*C119^3+0.17997837523*C119^2-0.8432145333*C119+1.3036332968)*($B$7-$B$8))+$B$8)</f>
        <v>4.084222512939939</v>
      </c>
      <c r="C119" s="3">
        <f>IF(((Foglio2!$B$19*24)+(A119/60))&lt;3,((Foglio2!$B$19*24)+(A119/60))+24,IF(((Foglio2!$B$19*24)+(A119/60))&gt;27,((Foglio2!$B$19*24)+(A119/60))-(E119*24),((Foglio2!$B$19*24)+(A119/60))))</f>
        <v>23.165961109302661</v>
      </c>
      <c r="D119" s="6">
        <f t="shared" si="13"/>
        <v>5.084222512939939</v>
      </c>
      <c r="E119" s="2">
        <f>MIN(ODD((((Foglio2!$B$19*24)+(A119/60))-3.5)/24),EVEN((((Foglio2!$B$19*24)+(A119/60))-3.5)/24))-1</f>
        <v>0</v>
      </c>
      <c r="F119" s="3"/>
      <c r="G119" s="2"/>
      <c r="H119" s="6">
        <f t="shared" si="15"/>
        <v>129.03164713541665</v>
      </c>
      <c r="I119" s="5">
        <f t="shared" si="19"/>
        <v>7082.5425323920881</v>
      </c>
      <c r="J119" s="3">
        <f t="shared" ca="1" si="16"/>
        <v>5.1426109739499788</v>
      </c>
      <c r="K119" s="3">
        <f t="shared" si="20"/>
        <v>7084</v>
      </c>
      <c r="L119" s="3">
        <f t="shared" ca="1" si="17"/>
        <v>5.14098221196459</v>
      </c>
      <c r="M119" s="3">
        <f t="shared" ca="1" si="18"/>
        <v>5.1733206873151794</v>
      </c>
      <c r="N119" s="3"/>
      <c r="O119" s="3">
        <f ca="1">IF($B$14=0,0,IF(K119=$A$18,IF(ABS(((J119+L119+M119)/3)-$F$8)&lt;Foglio2!$B$22,H119,""),O119))</f>
        <v>129.03164713541665</v>
      </c>
      <c r="P119" s="3"/>
      <c r="Q119" s="3"/>
      <c r="R119" s="3"/>
    </row>
    <row r="120" spans="1:18" x14ac:dyDescent="0.25">
      <c r="A120" s="6">
        <f t="shared" si="14"/>
        <v>127.45609130859367</v>
      </c>
      <c r="B120" s="6">
        <f>IF(Foglio2!$B$20=0,(($B$129-$B$69)/60)+B119,((0.000000009989279499*C120^6-0.000006306045622*C120^5+0.000484825656*C120^4-0.01426446279*C120^3+0.17997837523*C120^2-0.8432145333*C120+1.3036332968)*($B$7-$B$8))+$B$8)</f>
        <v>4.0689641964356698</v>
      </c>
      <c r="C120" s="3">
        <f>IF(((Foglio2!$B$19*24)+(A120/60))&lt;3,((Foglio2!$B$19*24)+(A120/60))+24,IF(((Foglio2!$B$19*24)+(A120/60))&gt;27,((Foglio2!$B$19*24)+(A120/60))-(E120*24),((Foglio2!$B$19*24)+(A120/60))))</f>
        <v>23.207601521809892</v>
      </c>
      <c r="D120" s="6">
        <f t="shared" si="13"/>
        <v>5.0689641964356698</v>
      </c>
      <c r="E120" s="2">
        <f>MIN(ODD((((Foglio2!$B$19*24)+(A120/60))-3.5)/24),EVEN((((Foglio2!$B$19*24)+(A120/60))-3.5)/24))-1</f>
        <v>0</v>
      </c>
      <c r="F120" s="3"/>
      <c r="G120" s="2"/>
      <c r="H120" s="6">
        <f t="shared" si="15"/>
        <v>130.5252376302083</v>
      </c>
      <c r="I120" s="5">
        <f t="shared" si="19"/>
        <v>7164.8744223036238</v>
      </c>
      <c r="J120" s="3">
        <f t="shared" ca="1" si="16"/>
        <v>5.1155267611941646</v>
      </c>
      <c r="K120" s="3">
        <f t="shared" si="20"/>
        <v>7166</v>
      </c>
      <c r="L120" s="3">
        <f t="shared" ca="1" si="17"/>
        <v>5.1139329950833057</v>
      </c>
      <c r="M120" s="3">
        <f t="shared" ca="1" si="18"/>
        <v>5.1455747447551463</v>
      </c>
      <c r="N120" s="3"/>
      <c r="O120" s="3">
        <f ca="1">IF($B$14=0,0,IF(K120=$A$18,IF(ABS(((J120+L120+M120)/3)-$F$8)&lt;Foglio2!$B$22,H120,""),O120))</f>
        <v>130.5252376302083</v>
      </c>
      <c r="P120" s="3"/>
      <c r="Q120" s="3"/>
      <c r="R120" s="3"/>
    </row>
    <row r="121" spans="1:18" x14ac:dyDescent="0.25">
      <c r="A121" s="6">
        <f t="shared" si="14"/>
        <v>129.9545160590277</v>
      </c>
      <c r="B121" s="6">
        <f>IF(Foglio2!$B$20=0,(($B$129-$B$69)/60)+B120,((0.000000009989279499*C121^6-0.000006306045622*C121^5+0.000484825656*C121^4-0.01426446279*C121^3+0.17997837523*C121^2-0.8432145333*C121+1.3036332968)*($B$7-$B$8))+$B$8)</f>
        <v>4.0539815517081026</v>
      </c>
      <c r="C121" s="3">
        <f>IF(((Foglio2!$B$19*24)+(A121/60))&lt;3,((Foglio2!$B$19*24)+(A121/60))+24,IF(((Foglio2!$B$19*24)+(A121/60))&gt;27,((Foglio2!$B$19*24)+(A121/60))-(E121*24),((Foglio2!$B$19*24)+(A121/60))))</f>
        <v>23.249241934317126</v>
      </c>
      <c r="D121" s="6">
        <f t="shared" si="13"/>
        <v>5.0539815517081026</v>
      </c>
      <c r="E121" s="2">
        <f>MIN(ODD((((Foglio2!$B$19*24)+(A121/60))-3.5)/24),EVEN((((Foglio2!$B$19*24)+(A121/60))-3.5)/24))-1</f>
        <v>0</v>
      </c>
      <c r="F121" s="3"/>
      <c r="G121" s="2"/>
      <c r="H121" s="6">
        <f t="shared" si="15"/>
        <v>132.018828125</v>
      </c>
      <c r="I121" s="5">
        <f t="shared" si="19"/>
        <v>7247.2063122151594</v>
      </c>
      <c r="J121" s="3">
        <f t="shared" ca="1" si="16"/>
        <v>5.0890179403921003</v>
      </c>
      <c r="K121" s="3">
        <f t="shared" si="20"/>
        <v>7248</v>
      </c>
      <c r="L121" s="3">
        <f t="shared" ca="1" si="17"/>
        <v>5.0874580873553876</v>
      </c>
      <c r="M121" s="3">
        <f t="shared" ca="1" si="18"/>
        <v>5.1184246795784247</v>
      </c>
      <c r="N121" s="3"/>
      <c r="O121" s="3">
        <f ca="1">IF($B$14=0,0,IF(K121=$A$18,IF(ABS(((J121+L121+M121)/3)-$F$8)&lt;Foglio2!$B$22,H121,""),O121))</f>
        <v>132.018828125</v>
      </c>
      <c r="P121" s="3"/>
      <c r="Q121" s="3"/>
      <c r="R121" s="3"/>
    </row>
    <row r="122" spans="1:18" x14ac:dyDescent="0.25">
      <c r="A122" s="6">
        <f t="shared" si="14"/>
        <v>132.45294080946172</v>
      </c>
      <c r="B122" s="6">
        <f>IF(Foglio2!$B$20=0,(($B$129-$B$69)/60)+B121,((0.000000009989279499*C122^6-0.000006306045622*C122^5+0.000484825656*C122^4-0.01426446279*C122^3+0.17997837523*C122^2-0.8432145333*C122+1.3036332968)*($B$7-$B$8))+$B$8)</f>
        <v>4.0392716995118514</v>
      </c>
      <c r="C122" s="3">
        <f>IF(((Foglio2!$B$19*24)+(A122/60))&lt;3,((Foglio2!$B$19*24)+(A122/60))+24,IF(((Foglio2!$B$19*24)+(A122/60))&gt;27,((Foglio2!$B$19*24)+(A122/60))-(E122*24),((Foglio2!$B$19*24)+(A122/60))))</f>
        <v>23.290882346824361</v>
      </c>
      <c r="D122" s="6">
        <f t="shared" si="13"/>
        <v>5.0392716995118514</v>
      </c>
      <c r="E122" s="2">
        <f>MIN(ODD((((Foglio2!$B$19*24)+(A122/60))-3.5)/24),EVEN((((Foglio2!$B$19*24)+(A122/60))-3.5)/24))-1</f>
        <v>0</v>
      </c>
      <c r="F122" s="3"/>
      <c r="G122" s="2"/>
      <c r="H122" s="6">
        <f t="shared" si="15"/>
        <v>133.51241861979165</v>
      </c>
      <c r="I122" s="5">
        <f t="shared" si="19"/>
        <v>7329.5382021266951</v>
      </c>
      <c r="J122" s="3">
        <f t="shared" ca="1" si="16"/>
        <v>5.0630669436219762</v>
      </c>
      <c r="K122" s="3">
        <f t="shared" si="20"/>
        <v>7330</v>
      </c>
      <c r="L122" s="3">
        <f t="shared" ca="1" si="17"/>
        <v>5.0615399641359105</v>
      </c>
      <c r="M122" s="3">
        <f t="shared" ca="1" si="18"/>
        <v>5.0918521036600826</v>
      </c>
      <c r="N122" s="3"/>
      <c r="O122" s="3">
        <f ca="1">IF($B$14=0,0,IF(K122=$A$18,IF(ABS(((J122+L122+M122)/3)-$F$8)&lt;Foglio2!$B$22,H122,""),O122))</f>
        <v>133.51241861979165</v>
      </c>
      <c r="P122" s="3"/>
      <c r="Q122" s="3"/>
      <c r="R122" s="3"/>
    </row>
    <row r="123" spans="1:18" x14ac:dyDescent="0.25">
      <c r="A123" s="6">
        <f t="shared" si="14"/>
        <v>134.95136555989575</v>
      </c>
      <c r="B123" s="6">
        <f>IF(Foglio2!$B$20=0,(($B$129-$B$69)/60)+B122,((0.000000009989279499*C123^6-0.000006306045622*C123^5+0.000484825656*C123^4-0.01426446279*C123^3+0.17997837523*C123^2-0.8432145333*C123+1.3036332968)*($B$7-$B$8))+$B$8)</f>
        <v>4.0248316519996985</v>
      </c>
      <c r="C123" s="3">
        <f>IF(((Foglio2!$B$19*24)+(A123/60))&lt;3,((Foglio2!$B$19*24)+(A123/60))+24,IF(((Foglio2!$B$19*24)+(A123/60))&gt;27,((Foglio2!$B$19*24)+(A123/60))-(E123*24),((Foglio2!$B$19*24)+(A123/60))))</f>
        <v>23.332522759331596</v>
      </c>
      <c r="D123" s="6">
        <f t="shared" si="13"/>
        <v>5.0248316519996985</v>
      </c>
      <c r="E123" s="2">
        <f>MIN(ODD((((Foglio2!$B$19*24)+(A123/60))-3.5)/24),EVEN((((Foglio2!$B$19*24)+(A123/60))-3.5)/24))-1</f>
        <v>0</v>
      </c>
      <c r="F123" s="3"/>
      <c r="G123" s="2"/>
      <c r="H123" s="6">
        <f t="shared" si="15"/>
        <v>135.00600911458329</v>
      </c>
      <c r="I123" s="5">
        <f t="shared" si="19"/>
        <v>7411.8700920382307</v>
      </c>
      <c r="J123" s="3">
        <f t="shared" ca="1" si="16"/>
        <v>5.0376568986981702</v>
      </c>
      <c r="K123" s="3">
        <f t="shared" si="20"/>
        <v>7412</v>
      </c>
      <c r="L123" s="3">
        <f t="shared" ca="1" si="17"/>
        <v>5.0361617944871124</v>
      </c>
      <c r="M123" s="3">
        <f t="shared" ca="1" si="18"/>
        <v>5.0658393632518575</v>
      </c>
      <c r="N123" s="3"/>
      <c r="O123" s="3">
        <f ca="1">IF($B$14=0,0,IF(K123=$A$18,IF(ABS(((J123+L123+M123)/3)-$F$8)&lt;Foglio2!$B$22,H123,""),O123))</f>
        <v>135.00600911458329</v>
      </c>
      <c r="P123" s="3"/>
      <c r="Q123" s="3"/>
      <c r="R123" s="3"/>
    </row>
    <row r="124" spans="1:18" x14ac:dyDescent="0.25">
      <c r="A124" s="6">
        <f t="shared" si="14"/>
        <v>137.44979031032977</v>
      </c>
      <c r="B124" s="6">
        <f>IF(Foglio2!$B$20=0,(($B$129-$B$69)/60)+B123,((0.000000009989279499*C124^6-0.000006306045622*C124^5+0.000484825656*C124^4-0.01426446279*C124^3+0.17997837523*C124^2-0.8432145333*C124+1.3036332968)*($B$7-$B$8))+$B$8)</f>
        <v>4.0106583120568553</v>
      </c>
      <c r="C124" s="3">
        <f>IF(((Foglio2!$B$19*24)+(A124/60))&lt;3,((Foglio2!$B$19*24)+(A124/60))+24,IF(((Foglio2!$B$19*24)+(A124/60))&gt;27,((Foglio2!$B$19*24)+(A124/60))-(E124*24),((Foglio2!$B$19*24)+(A124/60))))</f>
        <v>23.374163171838827</v>
      </c>
      <c r="D124" s="6">
        <f t="shared" si="13"/>
        <v>5.0106583120568553</v>
      </c>
      <c r="E124" s="2">
        <f>MIN(ODD((((Foglio2!$B$19*24)+(A124/60))-3.5)/24),EVEN((((Foglio2!$B$19*24)+(A124/60))-3.5)/24))-1</f>
        <v>0</v>
      </c>
      <c r="F124" s="3"/>
      <c r="G124" s="2"/>
      <c r="H124" s="6">
        <f t="shared" si="15"/>
        <v>136.53602864583331</v>
      </c>
      <c r="I124" s="5">
        <f t="shared" si="19"/>
        <v>7494.2019819497664</v>
      </c>
      <c r="J124" s="3">
        <f t="shared" ca="1" si="16"/>
        <v>5.0121710608754961</v>
      </c>
      <c r="K124" s="3">
        <f t="shared" si="20"/>
        <v>7496</v>
      </c>
      <c r="L124" s="3">
        <f t="shared" ca="1" si="17"/>
        <v>5.0107076153844217</v>
      </c>
      <c r="M124" s="3">
        <f t="shared" ca="1" si="18"/>
        <v>5.039754931735116</v>
      </c>
      <c r="N124" s="3"/>
      <c r="O124" s="3">
        <f ca="1">IF($B$14=0,0,IF(K124=$A$18,IF(ABS(((J124+L124+M124)/3)-$F$8)&lt;Foglio2!$B$22,H124,""),O124))</f>
        <v>136.53602864583331</v>
      </c>
      <c r="P124" s="3"/>
      <c r="Q124" s="3"/>
      <c r="R124" s="3"/>
    </row>
    <row r="125" spans="1:18" x14ac:dyDescent="0.25">
      <c r="A125" s="6">
        <f t="shared" si="14"/>
        <v>139.9482150607638</v>
      </c>
      <c r="B125" s="6">
        <f>IF(Foglio2!$B$20=0,(($B$129-$B$69)/60)+B124,((0.000000009989279499*C125^6-0.000006306045622*C125^5+0.000484825656*C125^4-0.01426446279*C125^3+0.17997837523*C125^2-0.8432145333*C125+1.3036332968)*($B$7-$B$8))+$B$8)</f>
        <v>3.9967484726352547</v>
      </c>
      <c r="C125" s="3">
        <f>IF(((Foglio2!$B$19*24)+(A125/60))&lt;3,((Foglio2!$B$19*24)+(A125/60))+24,IF(((Foglio2!$B$19*24)+(A125/60))&gt;27,((Foglio2!$B$19*24)+(A125/60))-(E125*24),((Foglio2!$B$19*24)+(A125/60))))</f>
        <v>23.415803584346062</v>
      </c>
      <c r="D125" s="6">
        <f t="shared" si="13"/>
        <v>4.9967484726352547</v>
      </c>
      <c r="E125" s="2">
        <f>MIN(ODD((((Foglio2!$B$19*24)+(A125/60))-3.5)/24),EVEN((((Foglio2!$B$19*24)+(A125/60))-3.5)/24))-1</f>
        <v>0</v>
      </c>
      <c r="F125" s="3"/>
      <c r="G125" s="2"/>
      <c r="H125" s="6">
        <f t="shared" si="15"/>
        <v>138.02961914062502</v>
      </c>
      <c r="I125" s="5">
        <f t="shared" si="19"/>
        <v>7576.533871861302</v>
      </c>
      <c r="J125" s="3">
        <f t="shared" ca="1" si="16"/>
        <v>4.9878071543502953</v>
      </c>
      <c r="K125" s="3">
        <f t="shared" si="20"/>
        <v>7578</v>
      </c>
      <c r="L125" s="3">
        <f t="shared" ca="1" si="17"/>
        <v>4.9863736817092308</v>
      </c>
      <c r="M125" s="3">
        <f t="shared" ca="1" si="18"/>
        <v>5.0148243134756409</v>
      </c>
      <c r="N125" s="3"/>
      <c r="O125" s="3">
        <f ca="1">IF($B$14=0,0,IF(K125=$A$18,IF(ABS(((J125+L125+M125)/3)-$F$8)&lt;Foglio2!$B$22,H125,""),O125))</f>
        <v>138.02961914062502</v>
      </c>
      <c r="P125" s="3"/>
      <c r="Q125" s="3"/>
      <c r="R125" s="3"/>
    </row>
    <row r="126" spans="1:18" x14ac:dyDescent="0.25">
      <c r="A126" s="6">
        <f t="shared" si="14"/>
        <v>142.44663981119783</v>
      </c>
      <c r="B126" s="6">
        <f>IF(Foglio2!$B$20=0,(($B$129-$B$69)/60)+B125,((0.000000009989279499*C126^6-0.000006306045622*C126^5+0.000484825656*C126^4-0.01426446279*C126^3+0.17997837523*C126^2-0.8432145333*C126+1.3036332968)*($B$7-$B$8))+$B$8)</f>
        <v>3.9830988160951017</v>
      </c>
      <c r="C126" s="3">
        <f>IF(((Foglio2!$B$19*24)+(A126/60))&lt;3,((Foglio2!$B$19*24)+(A126/60))+24,IF(((Foglio2!$B$19*24)+(A126/60))&gt;27,((Foglio2!$B$19*24)+(A126/60))-(E126*24),((Foglio2!$B$19*24)+(A126/60))))</f>
        <v>23.457443996853296</v>
      </c>
      <c r="D126" s="6">
        <f t="shared" si="13"/>
        <v>4.9830988160951017</v>
      </c>
      <c r="E126" s="2">
        <f>MIN(ODD((((Foglio2!$B$19*24)+(A126/60))-3.5)/24),EVEN((((Foglio2!$B$19*24)+(A126/60))-3.5)/24))-1</f>
        <v>0</v>
      </c>
      <c r="F126" s="3"/>
      <c r="G126" s="2"/>
      <c r="H126" s="6">
        <f t="shared" si="15"/>
        <v>139.52320963541666</v>
      </c>
      <c r="I126" s="5">
        <f t="shared" si="19"/>
        <v>7658.8657617728377</v>
      </c>
      <c r="J126" s="3">
        <f t="shared" ca="1" si="16"/>
        <v>4.9639370827160896</v>
      </c>
      <c r="K126" s="3">
        <f t="shared" si="20"/>
        <v>7660</v>
      </c>
      <c r="L126" s="3">
        <f t="shared" ca="1" si="17"/>
        <v>4.9625326980916942</v>
      </c>
      <c r="M126" s="3">
        <f t="shared" ca="1" si="18"/>
        <v>4.9904042652533578</v>
      </c>
      <c r="N126" s="3"/>
      <c r="O126" s="3">
        <f ca="1">IF($B$14=0,0,IF(K126=$A$18,IF(ABS(((J126+L126+M126)/3)-$F$8)&lt;Foglio2!$B$22,H126,""),O126))</f>
        <v>139.52320963541666</v>
      </c>
      <c r="P126" s="3"/>
      <c r="Q126" s="3"/>
      <c r="R126" s="3"/>
    </row>
    <row r="127" spans="1:18" x14ac:dyDescent="0.25">
      <c r="A127" s="6">
        <f t="shared" si="14"/>
        <v>144.94506456163185</v>
      </c>
      <c r="B127" s="6">
        <f>IF(Foglio2!$B$20=0,(($B$129-$B$69)/60)+B126,((0.000000009989279499*C127^6-0.000006306045622*C127^5+0.000484825656*C127^4-0.01426446279*C127^3+0.17997837523*C127^2-0.8432145333*C127+1.3036332968)*($B$7-$B$8))+$B$8)</f>
        <v>3.969705913537088</v>
      </c>
      <c r="C127" s="3">
        <f>IF(((Foglio2!$B$19*24)+(A127/60))&lt;3,((Foglio2!$B$19*24)+(A127/60))+24,IF(((Foglio2!$B$19*24)+(A127/60))&gt;27,((Foglio2!$B$19*24)+(A127/60))-(E127*24),((Foglio2!$B$19*24)+(A127/60))))</f>
        <v>23.499084409360531</v>
      </c>
      <c r="D127" s="6">
        <f t="shared" si="13"/>
        <v>4.969705913537088</v>
      </c>
      <c r="E127" s="2">
        <f>MIN(ODD((((Foglio2!$B$19*24)+(A127/60))-3.5)/24),EVEN((((Foglio2!$B$19*24)+(A127/60))-3.5)/24))-1</f>
        <v>0</v>
      </c>
      <c r="F127" s="3"/>
      <c r="G127" s="2"/>
      <c r="H127" s="6">
        <f t="shared" si="15"/>
        <v>141.01680013020831</v>
      </c>
      <c r="I127" s="5">
        <f t="shared" si="19"/>
        <v>7741.1976516843733</v>
      </c>
      <c r="J127" s="3">
        <f t="shared" ca="1" si="16"/>
        <v>4.9405464615371804</v>
      </c>
      <c r="K127" s="3">
        <f t="shared" si="20"/>
        <v>7742</v>
      </c>
      <c r="L127" s="3">
        <f t="shared" ca="1" si="17"/>
        <v>4.9391703141814665</v>
      </c>
      <c r="M127" s="3">
        <f t="shared" ca="1" si="18"/>
        <v>4.966479757375641</v>
      </c>
      <c r="N127" s="3"/>
      <c r="O127" s="3">
        <f ca="1">IF($B$14=0,0,IF(K127=$A$18,IF(ABS(((J127+L127+M127)/3)-$F$8)&lt;Foglio2!$B$22,H127,""),O127))</f>
        <v>141.01680013020831</v>
      </c>
      <c r="P127" s="3"/>
      <c r="Q127" s="3"/>
      <c r="R127" s="3"/>
    </row>
    <row r="128" spans="1:18" x14ac:dyDescent="0.25">
      <c r="A128" s="6">
        <f t="shared" si="14"/>
        <v>147.44348931206588</v>
      </c>
      <c r="B128" s="6">
        <f>IF(Foglio2!$B$20=0,(($B$129-$B$69)/60)+B127,((0.000000009989279499*C128^6-0.000006306045622*C128^5+0.000484825656*C128^4-0.01426446279*C128^3+0.17997837523*C128^2-0.8432145333*C128+1.3036332968)*($B$7-$B$8))+$B$8)</f>
        <v>3.956566224141576</v>
      </c>
      <c r="C128" s="3">
        <f>IF(((Foglio2!$B$19*24)+(A128/60))&lt;3,((Foglio2!$B$19*24)+(A128/60))+24,IF(((Foglio2!$B$19*24)+(A128/60))&gt;27,((Foglio2!$B$19*24)+(A128/60))-(E128*24),((Foglio2!$B$19*24)+(A128/60))))</f>
        <v>23.540724821867762</v>
      </c>
      <c r="D128" s="6">
        <f t="shared" si="13"/>
        <v>4.956566224141576</v>
      </c>
      <c r="E128" s="2">
        <f>MIN(ODD((((Foglio2!$B$19*24)+(A128/60))-3.5)/24),EVEN((((Foglio2!$B$19*24)+(A128/60))-3.5)/24))-1</f>
        <v>0</v>
      </c>
      <c r="F128" s="3"/>
      <c r="G128" s="2"/>
      <c r="H128" s="6">
        <f t="shared" si="15"/>
        <v>142.51039062499999</v>
      </c>
      <c r="I128" s="5">
        <f t="shared" si="19"/>
        <v>7823.529541595909</v>
      </c>
      <c r="J128" s="3">
        <f t="shared" ca="1" si="16"/>
        <v>4.9176214547390709</v>
      </c>
      <c r="K128" s="3">
        <f t="shared" si="20"/>
        <v>7824</v>
      </c>
      <c r="L128" s="3">
        <f t="shared" ca="1" si="17"/>
        <v>4.9162727264311732</v>
      </c>
      <c r="M128" s="3">
        <f t="shared" ca="1" si="18"/>
        <v>4.9430363381434681</v>
      </c>
      <c r="N128" s="3"/>
      <c r="O128" s="3">
        <f ca="1">IF($B$14=0,0,IF(K128=$A$18,IF(ABS(((J128+L128+M128)/3)-$F$8)&lt;Foglio2!$B$22,H128,""),O128))</f>
        <v>142.51039062499999</v>
      </c>
      <c r="P128" s="3"/>
      <c r="Q128" s="3"/>
      <c r="R128" s="3"/>
    </row>
    <row r="129" spans="1:18" x14ac:dyDescent="0.25">
      <c r="A129" s="6">
        <f>H133</f>
        <v>149.94191406249999</v>
      </c>
      <c r="B129" s="6">
        <f>IF(Foglio2!$B$20=0,B8,((0.000000009989279499*C129^6-0.000006306045622*C129^5+0.000484825656*C129^4-0.01426446279*C129^3+0.17997837523*C129^2-0.8432145333*C129+1.3036332968)*($B$7-$B$8))+$B$8)</f>
        <v>3.9436760945080396</v>
      </c>
      <c r="C129" s="3">
        <f>IF(((Foglio2!$B$19*24)+(A129/60))&lt;3,((Foglio2!$B$19*24)+(A129/60))+24,IF(((Foglio2!$B$19*24)+(A129/60))&gt;27,((Foglio2!$B$19*24)+(A129/60))-(E129*24),((Foglio2!$B$19*24)+(A129/60))))</f>
        <v>23.582365234374997</v>
      </c>
      <c r="D129" s="6">
        <f t="shared" si="13"/>
        <v>4.9436760945080396</v>
      </c>
      <c r="E129" s="2">
        <f>MIN(ODD((((Foglio2!$B$19*24)+(A129/60))-3.5)/24),EVEN((((Foglio2!$B$19*24)+(A129/60))-3.5)/24))-1</f>
        <v>0</v>
      </c>
      <c r="F129" s="3"/>
      <c r="G129" s="2"/>
      <c r="H129" s="6">
        <f t="shared" si="15"/>
        <v>144.00398111979166</v>
      </c>
      <c r="I129" s="5">
        <f t="shared" si="19"/>
        <v>7905.8614315074446</v>
      </c>
      <c r="J129" s="3">
        <f t="shared" ca="1" si="16"/>
        <v>4.8951487496083361</v>
      </c>
      <c r="K129" s="3">
        <f t="shared" si="20"/>
        <v>7906</v>
      </c>
      <c r="L129" s="3">
        <f t="shared" ca="1" si="17"/>
        <v>4.8938266531746253</v>
      </c>
      <c r="M129" s="3">
        <f t="shared" ca="1" si="18"/>
        <v>4.920060107353784</v>
      </c>
      <c r="N129" s="3"/>
      <c r="O129" s="3">
        <f ca="1">IF($B$14=0,0,IF(K129=$A$18,IF(ABS(((J129+L129+M129)/3)-$F$8)&lt;Foglio2!$B$22,H129,""),O129))</f>
        <v>144.00398111979166</v>
      </c>
      <c r="P129" s="3"/>
      <c r="Q129" s="3"/>
      <c r="R129" s="3"/>
    </row>
    <row r="130" spans="1:18" x14ac:dyDescent="0.25">
      <c r="A130" s="3"/>
      <c r="B130" s="3"/>
      <c r="C130" s="3"/>
      <c r="D130" s="3"/>
      <c r="E130" s="2"/>
      <c r="F130" s="3"/>
      <c r="G130" s="2"/>
      <c r="H130" s="6">
        <f t="shared" si="15"/>
        <v>145.53400065104168</v>
      </c>
      <c r="I130" s="5">
        <f t="shared" si="19"/>
        <v>7988.1933214189803</v>
      </c>
      <c r="J130" s="3">
        <f t="shared" ca="1" si="16"/>
        <v>4.8725835229118877</v>
      </c>
      <c r="K130" s="3">
        <f t="shared" si="20"/>
        <v>7990</v>
      </c>
      <c r="L130" s="3">
        <f t="shared" ca="1" si="17"/>
        <v>4.871287922679306</v>
      </c>
      <c r="M130" s="3">
        <f t="shared" ca="1" si="18"/>
        <v>4.8969939237112223</v>
      </c>
      <c r="N130" s="3"/>
      <c r="O130" s="3">
        <f ca="1">IF($B$14=0,0,IF(K130=$A$18,IF(ABS(((J130+L130+M130)/3)-$F$8)&lt;Foglio2!$B$22,H130,""),O130))</f>
        <v>145.53400065104168</v>
      </c>
      <c r="P130" s="3"/>
      <c r="Q130" s="3"/>
      <c r="R130" s="3"/>
    </row>
    <row r="131" spans="1:18" x14ac:dyDescent="0.25">
      <c r="A131" s="3"/>
      <c r="B131" s="3"/>
      <c r="C131" s="3"/>
      <c r="D131" s="3"/>
      <c r="E131" s="2"/>
      <c r="F131" s="3"/>
      <c r="G131" s="2"/>
      <c r="H131" s="6">
        <f t="shared" si="15"/>
        <v>147.02759114583333</v>
      </c>
      <c r="I131" s="5">
        <f t="shared" si="19"/>
        <v>8070.525211330516</v>
      </c>
      <c r="J131" s="3">
        <f t="shared" ca="1" si="16"/>
        <v>4.850987726991514</v>
      </c>
      <c r="K131" s="3">
        <f t="shared" si="20"/>
        <v>8072</v>
      </c>
      <c r="L131" s="3">
        <f t="shared" ca="1" si="17"/>
        <v>4.8497172544304785</v>
      </c>
      <c r="M131" s="3">
        <f t="shared" ca="1" si="18"/>
        <v>4.8749230486388395</v>
      </c>
      <c r="N131" s="3"/>
      <c r="O131" s="3">
        <f ca="1">IF($B$14=0,0,IF(K131=$A$18,IF(ABS(((J131+L131+M131)/3)-$F$8)&lt;Foglio2!$B$22,H131,""),O131))</f>
        <v>147.02759114583333</v>
      </c>
      <c r="P131" s="3"/>
      <c r="Q131" s="3"/>
      <c r="R131" s="3"/>
    </row>
    <row r="132" spans="1:18" x14ac:dyDescent="0.25">
      <c r="A132" s="3"/>
      <c r="B132" s="3"/>
      <c r="C132" s="3"/>
      <c r="D132" s="3"/>
      <c r="E132" s="2"/>
      <c r="F132" s="3"/>
      <c r="G132" s="2"/>
      <c r="H132" s="6">
        <f t="shared" si="15"/>
        <v>148.521181640625</v>
      </c>
      <c r="I132" s="5">
        <f t="shared" si="19"/>
        <v>8152.8571012420516</v>
      </c>
      <c r="J132" s="3">
        <f t="shared" ca="1" si="16"/>
        <v>4.829806918883417</v>
      </c>
      <c r="K132" s="3">
        <f t="shared" si="20"/>
        <v>8154</v>
      </c>
      <c r="L132" s="3">
        <f t="shared" ca="1" si="17"/>
        <v>4.8285608724461335</v>
      </c>
      <c r="M132" s="3">
        <f t="shared" ca="1" si="18"/>
        <v>4.8532804285711464</v>
      </c>
      <c r="N132" s="3"/>
      <c r="O132" s="3">
        <f ca="1">IF($B$14=0,0,IF(K132=$A$18,IF(ABS(((J132+L132+M132)/3)-$F$8)&lt;Foglio2!$B$22,H132,""),O132))</f>
        <v>148.521181640625</v>
      </c>
      <c r="P132" s="3"/>
      <c r="Q132" s="3"/>
      <c r="R132" s="3"/>
    </row>
    <row r="133" spans="1:18" x14ac:dyDescent="0.25">
      <c r="A133" s="3"/>
      <c r="B133" s="3"/>
      <c r="C133" s="3"/>
      <c r="D133" s="3"/>
      <c r="E133" s="2"/>
      <c r="F133" s="2"/>
      <c r="G133" s="2"/>
      <c r="H133" s="6">
        <f t="shared" si="15"/>
        <v>149.94191406249999</v>
      </c>
      <c r="I133" s="5">
        <f>((B11*B1*1000000*60)/(G27*B34*B34*B2*B3))</f>
        <v>8235.1889911536055</v>
      </c>
      <c r="J133" s="3">
        <f t="shared" ca="1" si="16"/>
        <v>4.8100339936140539</v>
      </c>
      <c r="K133" s="5">
        <f>EVEN(I133)-4</f>
        <v>8232</v>
      </c>
      <c r="L133" s="3">
        <f t="shared" ca="1" si="17"/>
        <v>4.8088105542980006</v>
      </c>
      <c r="M133" s="3">
        <f t="shared" ca="1" si="18"/>
        <v>4.8330800854134512</v>
      </c>
      <c r="N133" s="3"/>
      <c r="O133" s="3">
        <f ca="1">IF($B$14=0,0,IF(K133=$A$18,IF(ABS(((J133+L133+M133)/3)-$F$8)&lt;Foglio2!$B$22,H133,""),O133))</f>
        <v>149.94191406249999</v>
      </c>
      <c r="P133" s="3"/>
      <c r="Q133" s="3"/>
      <c r="R133" s="3"/>
    </row>
    <row r="134" spans="1:18" x14ac:dyDescent="0.25">
      <c r="A134" s="3"/>
      <c r="B134" s="3"/>
      <c r="C134" s="3"/>
      <c r="D134" s="3"/>
      <c r="E134" s="2"/>
      <c r="F134" s="3"/>
      <c r="G134" s="3"/>
      <c r="H134" s="3"/>
      <c r="I134" s="3"/>
      <c r="J134" s="3"/>
      <c r="K134" s="3"/>
      <c r="L134" s="3"/>
      <c r="M134" s="3"/>
      <c r="N134" s="3"/>
    </row>
    <row r="135" spans="1:18" x14ac:dyDescent="0.25">
      <c r="A135" s="3"/>
      <c r="B135" s="3"/>
      <c r="C135" s="3"/>
      <c r="D135" s="3"/>
      <c r="E135" s="2"/>
      <c r="F135" s="3"/>
      <c r="G135" s="3"/>
      <c r="H135" s="3"/>
      <c r="I135" s="3"/>
      <c r="J135" s="3"/>
      <c r="K135" s="3"/>
      <c r="L135" s="3"/>
      <c r="M135" s="3"/>
      <c r="N135" s="3"/>
      <c r="O135" s="4">
        <f ca="1">MIN(O33:O133)</f>
        <v>105.02491210937498</v>
      </c>
    </row>
    <row r="136" spans="1:18" x14ac:dyDescent="0.25">
      <c r="A136" s="3"/>
      <c r="B136" s="3"/>
      <c r="C136" s="3"/>
      <c r="D136" s="3"/>
      <c r="E136" s="2"/>
      <c r="F136" s="3"/>
      <c r="G136" s="3"/>
      <c r="H136" s="3"/>
      <c r="I136" s="3"/>
      <c r="J136" s="3"/>
      <c r="K136" s="3"/>
      <c r="L136" s="3"/>
      <c r="M136" s="3"/>
      <c r="N136" s="3"/>
      <c r="O136" s="4">
        <f ca="1">MAX(O33:O133)</f>
        <v>149.94191406249999</v>
      </c>
    </row>
    <row r="137" spans="1:18" x14ac:dyDescent="0.25">
      <c r="A137" s="3"/>
      <c r="B137" s="3"/>
      <c r="C137" s="3"/>
      <c r="D137" s="3"/>
      <c r="E137" s="2"/>
      <c r="F137" s="3"/>
      <c r="G137" s="3"/>
      <c r="H137" s="3"/>
      <c r="I137" s="3"/>
      <c r="J137" s="3"/>
      <c r="K137" s="3"/>
      <c r="L137" s="3"/>
      <c r="M137" s="3"/>
      <c r="N137" s="3"/>
    </row>
    <row r="138" spans="1:18" x14ac:dyDescent="0.25">
      <c r="A138" s="3"/>
      <c r="B138" s="3"/>
      <c r="C138" s="3"/>
      <c r="D138" s="3"/>
      <c r="E138" s="2"/>
      <c r="F138" s="3"/>
      <c r="G138" s="3"/>
      <c r="H138" s="3"/>
      <c r="I138" s="3"/>
      <c r="J138" s="3"/>
      <c r="K138" s="3"/>
      <c r="L138" s="3"/>
      <c r="M138" s="3"/>
      <c r="N138" s="3"/>
    </row>
    <row r="139" spans="1:18" x14ac:dyDescent="0.25">
      <c r="A139" s="3"/>
      <c r="B139" s="3"/>
      <c r="C139" s="3"/>
      <c r="D139" s="3"/>
      <c r="E139" s="2"/>
      <c r="F139" s="3"/>
      <c r="G139" s="3"/>
      <c r="H139" s="3"/>
      <c r="I139" s="3"/>
      <c r="J139" s="3"/>
      <c r="K139" s="3"/>
      <c r="L139" s="3"/>
      <c r="M139" s="3"/>
      <c r="N139" s="3"/>
    </row>
    <row r="140" spans="1:18" x14ac:dyDescent="0.25">
      <c r="A140" s="3"/>
      <c r="B140" s="3"/>
      <c r="C140" s="3"/>
      <c r="D140" s="3"/>
      <c r="E140" s="2"/>
      <c r="F140" s="3"/>
      <c r="G140" s="3"/>
      <c r="H140" s="3"/>
      <c r="I140" s="3"/>
      <c r="J140" s="3"/>
      <c r="K140" s="3"/>
      <c r="L140" s="3"/>
      <c r="M140" s="3"/>
      <c r="N140" s="3"/>
    </row>
    <row r="141" spans="1:18" x14ac:dyDescent="0.25">
      <c r="E141" s="1"/>
    </row>
  </sheetData>
  <sheetProtection sheet="1" objects="1" scenarios="1"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W98"/>
  <sheetViews>
    <sheetView tabSelected="1" workbookViewId="0">
      <selection sqref="A1:C1"/>
    </sheetView>
  </sheetViews>
  <sheetFormatPr defaultRowHeight="13.2" x14ac:dyDescent="0.25"/>
  <cols>
    <col min="1" max="1" width="17.77734375" bestFit="1" customWidth="1"/>
    <col min="8" max="8" width="2.109375" customWidth="1"/>
  </cols>
  <sheetData>
    <row r="1" spans="1:15" ht="19.2" customHeight="1" thickBot="1" x14ac:dyDescent="0.35">
      <c r="A1" s="71" t="s">
        <v>42</v>
      </c>
      <c r="B1" s="72"/>
      <c r="C1" s="73"/>
      <c r="E1" s="69" t="s">
        <v>48</v>
      </c>
      <c r="F1" s="70"/>
      <c r="G1" s="70"/>
      <c r="H1" s="25"/>
      <c r="I1" s="24" t="str">
        <f ca="1">IF(Foglio1!$A$17&lt;Foglio1!$B$11,"NO","SI")</f>
        <v>SI</v>
      </c>
      <c r="K1" s="86" t="s">
        <v>81</v>
      </c>
      <c r="L1" s="87" t="s">
        <v>82</v>
      </c>
      <c r="M1" s="88"/>
      <c r="N1" s="88"/>
      <c r="O1" s="89"/>
    </row>
    <row r="2" spans="1:15" x14ac:dyDescent="0.25">
      <c r="A2" s="11" t="s">
        <v>3</v>
      </c>
      <c r="B2" s="60">
        <v>19</v>
      </c>
      <c r="C2" s="13" t="s">
        <v>7</v>
      </c>
    </row>
    <row r="3" spans="1:15" ht="13.8" thickBot="1" x14ac:dyDescent="0.3">
      <c r="A3" s="19" t="s">
        <v>4</v>
      </c>
      <c r="B3" s="61">
        <v>415</v>
      </c>
      <c r="C3" s="20" t="s">
        <v>7</v>
      </c>
    </row>
    <row r="4" spans="1:15" ht="13.2" customHeight="1" thickBot="1" x14ac:dyDescent="0.3">
      <c r="A4" s="14"/>
      <c r="B4" s="15"/>
      <c r="C4" s="16"/>
      <c r="E4" s="3"/>
      <c r="F4" s="7"/>
      <c r="G4" s="3"/>
    </row>
    <row r="5" spans="1:15" x14ac:dyDescent="0.25">
      <c r="A5" s="71" t="s">
        <v>43</v>
      </c>
      <c r="B5" s="72"/>
      <c r="C5" s="73"/>
      <c r="E5" s="3"/>
      <c r="F5" s="3"/>
      <c r="G5" s="3"/>
    </row>
    <row r="6" spans="1:15" ht="31.8" customHeight="1" x14ac:dyDescent="0.25">
      <c r="A6" s="40"/>
      <c r="B6" s="41"/>
      <c r="C6" s="42"/>
      <c r="E6" s="3"/>
      <c r="F6" s="3"/>
      <c r="G6" s="3"/>
    </row>
    <row r="7" spans="1:15" ht="10.050000000000001" hidden="1" customHeight="1" x14ac:dyDescent="0.25">
      <c r="A7" s="17" t="s">
        <v>0</v>
      </c>
      <c r="B7" s="46">
        <f>CHOOSE(Foglio3!A8,Foglio3!B2,Foglio3!B3,Foglio3!B4,Foglio3!B5,Foglio3!B6)</f>
        <v>0.96</v>
      </c>
      <c r="C7" s="18" t="s">
        <v>10</v>
      </c>
      <c r="E7" s="3"/>
      <c r="F7" s="3"/>
      <c r="G7" s="3"/>
    </row>
    <row r="8" spans="1:15" ht="10.050000000000001" hidden="1" customHeight="1" x14ac:dyDescent="0.25">
      <c r="A8" s="17" t="s">
        <v>1</v>
      </c>
      <c r="B8" s="47">
        <f>CHOOSE(Foglio3!A8,Foglio3!C2,Foglio3!C3,Foglio3!C4,Foglio3!C5,Foglio3!C6)</f>
        <v>775</v>
      </c>
      <c r="C8" s="18" t="s">
        <v>11</v>
      </c>
      <c r="E8" s="3"/>
      <c r="F8" s="3"/>
      <c r="G8" s="3"/>
    </row>
    <row r="9" spans="1:15" ht="10.050000000000001" hidden="1" customHeight="1" x14ac:dyDescent="0.25">
      <c r="A9" s="17" t="s">
        <v>2</v>
      </c>
      <c r="B9" s="47">
        <f>CHOOSE(Foglio3!A8,Foglio3!D2,Foglio3!D3,Foglio3!D4,Foglio3!D5,Foglio3!D6)</f>
        <v>2500</v>
      </c>
      <c r="C9" s="18" t="s">
        <v>9</v>
      </c>
      <c r="E9" s="3"/>
      <c r="F9" s="3"/>
      <c r="G9" s="3"/>
    </row>
    <row r="10" spans="1:15" ht="13.8" thickBot="1" x14ac:dyDescent="0.3">
      <c r="A10" s="19" t="s">
        <v>41</v>
      </c>
      <c r="B10" s="61">
        <v>0</v>
      </c>
      <c r="C10" s="20"/>
      <c r="E10" s="3"/>
      <c r="F10" s="3"/>
      <c r="G10" s="3"/>
    </row>
    <row r="11" spans="1:15" ht="0.6" customHeight="1" x14ac:dyDescent="0.25">
      <c r="A11" s="14"/>
      <c r="B11" s="15"/>
      <c r="C11" s="16"/>
      <c r="E11" s="3"/>
      <c r="F11" s="3"/>
      <c r="G11" s="3"/>
    </row>
    <row r="12" spans="1:15" hidden="1" x14ac:dyDescent="0.25">
      <c r="A12" s="17" t="s">
        <v>6</v>
      </c>
      <c r="B12" s="60">
        <v>1006</v>
      </c>
      <c r="C12" s="18" t="s">
        <v>11</v>
      </c>
      <c r="E12" s="3"/>
      <c r="F12" s="3"/>
      <c r="G12" s="3"/>
    </row>
    <row r="13" spans="1:15" hidden="1" x14ac:dyDescent="0.25">
      <c r="A13" s="17" t="s">
        <v>44</v>
      </c>
      <c r="B13" s="60">
        <v>1.0129999999999999</v>
      </c>
      <c r="C13" s="59" t="s">
        <v>80</v>
      </c>
      <c r="E13" s="3"/>
      <c r="F13" s="3"/>
      <c r="G13" s="3"/>
    </row>
    <row r="14" spans="1:15" ht="13.2" customHeight="1" thickBot="1" x14ac:dyDescent="0.3">
      <c r="A14" s="11"/>
      <c r="B14" s="63"/>
      <c r="C14" s="13"/>
      <c r="E14" s="3"/>
      <c r="F14" s="3"/>
      <c r="G14" s="3"/>
    </row>
    <row r="15" spans="1:15" ht="13.2" customHeight="1" x14ac:dyDescent="0.25">
      <c r="A15" s="22" t="s">
        <v>87</v>
      </c>
      <c r="B15" s="85">
        <v>1</v>
      </c>
      <c r="C15" s="64"/>
      <c r="E15" s="3"/>
      <c r="F15" s="3"/>
      <c r="G15" s="3"/>
    </row>
    <row r="16" spans="1:15" x14ac:dyDescent="0.25">
      <c r="A16" s="17" t="s">
        <v>45</v>
      </c>
      <c r="B16" s="60">
        <v>15</v>
      </c>
      <c r="C16" s="18" t="s">
        <v>8</v>
      </c>
      <c r="E16" s="3"/>
      <c r="F16" s="3"/>
      <c r="G16" s="3"/>
    </row>
    <row r="17" spans="1:7" x14ac:dyDescent="0.25">
      <c r="A17" s="17" t="s">
        <v>83</v>
      </c>
      <c r="B17" s="60">
        <v>12</v>
      </c>
      <c r="C17" s="18" t="s">
        <v>8</v>
      </c>
      <c r="E17" s="3"/>
      <c r="F17" s="3"/>
      <c r="G17" s="3"/>
    </row>
    <row r="18" spans="1:7" x14ac:dyDescent="0.25">
      <c r="A18" s="17" t="s">
        <v>84</v>
      </c>
      <c r="B18" s="60">
        <v>3</v>
      </c>
      <c r="C18" s="18" t="s">
        <v>8</v>
      </c>
    </row>
    <row r="19" spans="1:7" ht="13.8" thickBot="1" x14ac:dyDescent="0.3">
      <c r="A19" s="19" t="s">
        <v>85</v>
      </c>
      <c r="B19" s="75">
        <v>0.87847222222222221</v>
      </c>
      <c r="C19" s="20"/>
    </row>
    <row r="20" spans="1:7" ht="2.4" hidden="1" customHeight="1" thickBot="1" x14ac:dyDescent="0.3">
      <c r="A20" s="82" t="s">
        <v>87</v>
      </c>
      <c r="B20" s="83">
        <f>B15</f>
        <v>1</v>
      </c>
      <c r="C20" s="84"/>
    </row>
    <row r="21" spans="1:7" ht="12.6" customHeight="1" thickBot="1" x14ac:dyDescent="0.3">
      <c r="A21" s="57"/>
      <c r="B21" s="77"/>
      <c r="C21" s="13"/>
    </row>
    <row r="22" spans="1:7" x14ac:dyDescent="0.25">
      <c r="A22" s="22" t="s">
        <v>88</v>
      </c>
      <c r="B22" s="85">
        <v>1.5</v>
      </c>
      <c r="C22" s="64" t="s">
        <v>8</v>
      </c>
    </row>
    <row r="23" spans="1:7" ht="13.8" thickBot="1" x14ac:dyDescent="0.3">
      <c r="A23" s="23" t="s">
        <v>89</v>
      </c>
      <c r="B23" s="81">
        <f ca="1">Foglio1!O135</f>
        <v>105.02491210937498</v>
      </c>
      <c r="C23" s="80" t="s">
        <v>33</v>
      </c>
    </row>
    <row r="24" spans="1:7" ht="16.8" customHeight="1" thickBot="1" x14ac:dyDescent="0.3">
      <c r="A24" s="14"/>
      <c r="B24" s="15"/>
      <c r="C24" s="16"/>
    </row>
    <row r="25" spans="1:7" x14ac:dyDescent="0.25">
      <c r="A25" s="71" t="s">
        <v>46</v>
      </c>
      <c r="B25" s="72"/>
      <c r="C25" s="73"/>
    </row>
    <row r="26" spans="1:7" ht="13.8" thickBot="1" x14ac:dyDescent="0.3">
      <c r="A26" s="23" t="s">
        <v>54</v>
      </c>
      <c r="B26" s="61">
        <v>150</v>
      </c>
      <c r="C26" s="20" t="s">
        <v>33</v>
      </c>
    </row>
    <row r="27" spans="1:7" ht="18" customHeight="1" thickBot="1" x14ac:dyDescent="0.3">
      <c r="A27" s="11"/>
      <c r="B27" s="28"/>
      <c r="C27" s="13"/>
    </row>
    <row r="28" spans="1:7" x14ac:dyDescent="0.25">
      <c r="A28" s="66" t="s">
        <v>49</v>
      </c>
      <c r="B28" s="67"/>
      <c r="C28" s="68"/>
    </row>
    <row r="29" spans="1:7" ht="32.4" customHeight="1" x14ac:dyDescent="0.25">
      <c r="A29" s="57"/>
      <c r="B29" s="12"/>
      <c r="C29" s="13"/>
    </row>
    <row r="30" spans="1:7" ht="13.2" hidden="1" customHeight="1" x14ac:dyDescent="0.25">
      <c r="A30" s="30" t="s">
        <v>50</v>
      </c>
      <c r="B30" s="31">
        <f>CHOOSE(Foglio3!A27,Foglio3!B11,Foglio3!B12,Foglio3!B13,Foglio3!B14,Foglio3!B15,Foglio3!B16,Foglio3!B17,Foglio3!B18,Foglio3!B19,Foglio3!B20,Foglio3!B21,Foglio3!B22,Foglio3!B23,Foglio3!B24,Foglio3!B25)</f>
        <v>80</v>
      </c>
      <c r="C30" s="32" t="s">
        <v>7</v>
      </c>
    </row>
    <row r="31" spans="1:7" ht="13.2" hidden="1" customHeight="1" x14ac:dyDescent="0.25">
      <c r="A31" s="17" t="s">
        <v>51</v>
      </c>
      <c r="B31" s="21">
        <f>CHOOSE(Foglio3!A27,Foglio3!C11,Foglio3!C12,Foglio3!C13,Foglio3!C14,Foglio3!C15,Foglio3!C16,Foglio3!C17,Foglio3!C18,Foglio3!C19,Foglio3!C20,Foglio3!C21,Foglio3!C22,Foglio3!C23,Foglio3!C24,Foglio3!C25)</f>
        <v>25</v>
      </c>
      <c r="C31" s="18" t="s">
        <v>7</v>
      </c>
    </row>
    <row r="32" spans="1:7" ht="13.8" thickBot="1" x14ac:dyDescent="0.3">
      <c r="A32" s="19" t="s">
        <v>52</v>
      </c>
      <c r="B32" s="61">
        <v>0</v>
      </c>
      <c r="C32" s="20" t="str">
        <f>IF(B32=0,"NO","SI")</f>
        <v>NO</v>
      </c>
    </row>
    <row r="33" spans="1:23" ht="17.399999999999999" customHeight="1" thickBot="1" x14ac:dyDescent="0.3"/>
    <row r="34" spans="1:23" ht="24" customHeight="1" thickBot="1" x14ac:dyDescent="0.3">
      <c r="A34" s="78" t="s">
        <v>47</v>
      </c>
      <c r="B34" s="79">
        <v>1</v>
      </c>
    </row>
    <row r="35" spans="1:23" ht="12.6" customHeight="1" x14ac:dyDescent="0.25">
      <c r="C35" s="74"/>
    </row>
    <row r="36" spans="1:23" ht="13.2" hidden="1" customHeight="1" thickBot="1" x14ac:dyDescent="0.3"/>
    <row r="37" spans="1:23" x14ac:dyDescent="0.25">
      <c r="A37" s="50"/>
      <c r="B37" s="63"/>
      <c r="C37" s="15"/>
    </row>
    <row r="38" spans="1:23" x14ac:dyDescent="0.25">
      <c r="A38" s="50"/>
      <c r="B38" s="35"/>
      <c r="C38" s="50"/>
    </row>
    <row r="40" spans="1:23" x14ac:dyDescent="0.25">
      <c r="B40" s="48"/>
    </row>
    <row r="41" spans="1:23" x14ac:dyDescent="0.25">
      <c r="B41" s="45"/>
    </row>
    <row r="42" spans="1:23" x14ac:dyDescent="0.25">
      <c r="B42" s="45"/>
    </row>
    <row r="43" spans="1:23" x14ac:dyDescent="0.25"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25"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65"/>
      <c r="P44" s="65"/>
      <c r="Q44" s="65"/>
      <c r="R44" s="65"/>
      <c r="S44" s="15"/>
      <c r="T44" s="15"/>
      <c r="U44" s="15"/>
      <c r="V44" s="15"/>
      <c r="W44" s="15"/>
    </row>
    <row r="45" spans="1:23" x14ac:dyDescent="0.25">
      <c r="D45" s="65"/>
      <c r="E45" s="65"/>
      <c r="F45" s="65"/>
      <c r="G45" s="65"/>
      <c r="H45" s="12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15"/>
    </row>
    <row r="46" spans="1:23" x14ac:dyDescent="0.25">
      <c r="D46" s="12"/>
      <c r="E46" s="12"/>
      <c r="F46" s="12"/>
      <c r="G46" s="12"/>
      <c r="H46" s="12"/>
      <c r="I46" s="28"/>
      <c r="J46" s="28"/>
      <c r="K46" s="12"/>
      <c r="L46" s="35"/>
      <c r="M46" s="12"/>
      <c r="N46" s="35"/>
      <c r="O46" s="12"/>
      <c r="P46" s="12"/>
      <c r="Q46" s="12"/>
      <c r="R46" s="12"/>
      <c r="S46" s="12"/>
      <c r="T46" s="12"/>
      <c r="U46" s="12"/>
      <c r="V46" s="12"/>
      <c r="W46" s="15"/>
    </row>
    <row r="47" spans="1:23" x14ac:dyDescent="0.25">
      <c r="D47" s="12"/>
      <c r="E47" s="12"/>
      <c r="F47" s="12"/>
      <c r="G47" s="12"/>
      <c r="H47" s="12"/>
      <c r="I47" s="28"/>
      <c r="J47" s="28"/>
      <c r="K47" s="12"/>
      <c r="L47" s="35"/>
      <c r="M47" s="12"/>
      <c r="N47" s="35"/>
      <c r="O47" s="12"/>
      <c r="P47" s="12"/>
      <c r="Q47" s="12"/>
      <c r="R47" s="12"/>
      <c r="S47" s="12"/>
      <c r="T47" s="12"/>
      <c r="U47" s="12"/>
      <c r="V47" s="12"/>
      <c r="W47" s="15"/>
    </row>
    <row r="48" spans="1:23" x14ac:dyDescent="0.25">
      <c r="D48" s="12"/>
      <c r="E48" s="12"/>
      <c r="F48" s="12"/>
      <c r="G48" s="12"/>
      <c r="H48" s="12"/>
      <c r="I48" s="28"/>
      <c r="J48" s="28"/>
      <c r="K48" s="12"/>
      <c r="L48" s="35"/>
      <c r="M48" s="12"/>
      <c r="N48" s="35"/>
      <c r="O48" s="12"/>
      <c r="P48" s="12"/>
      <c r="Q48" s="12"/>
      <c r="R48" s="12"/>
      <c r="S48" s="12"/>
      <c r="T48" s="12"/>
      <c r="U48" s="12"/>
      <c r="V48" s="12"/>
      <c r="W48" s="15"/>
    </row>
    <row r="49" spans="4:23" x14ac:dyDescent="0.25">
      <c r="D49" s="12"/>
      <c r="E49" s="12"/>
      <c r="F49" s="12"/>
      <c r="G49" s="12"/>
      <c r="H49" s="12"/>
      <c r="I49" s="28"/>
      <c r="J49" s="28"/>
      <c r="K49" s="12"/>
      <c r="L49" s="35"/>
      <c r="M49" s="12"/>
      <c r="N49" s="35"/>
      <c r="O49" s="12"/>
      <c r="P49" s="12"/>
      <c r="Q49" s="12"/>
      <c r="R49" s="12"/>
      <c r="S49" s="12"/>
      <c r="T49" s="12"/>
      <c r="U49" s="12"/>
      <c r="V49" s="12"/>
      <c r="W49" s="15"/>
    </row>
    <row r="50" spans="4:23" x14ac:dyDescent="0.25">
      <c r="D50" s="12"/>
      <c r="E50" s="12"/>
      <c r="F50" s="12"/>
      <c r="G50" s="12"/>
      <c r="H50" s="12"/>
      <c r="I50" s="28"/>
      <c r="J50" s="28"/>
      <c r="K50" s="12"/>
      <c r="L50" s="35"/>
      <c r="M50" s="12"/>
      <c r="N50" s="35"/>
      <c r="O50" s="12"/>
      <c r="P50" s="12"/>
      <c r="Q50" s="12"/>
      <c r="R50" s="12"/>
      <c r="S50" s="12"/>
      <c r="T50" s="12"/>
      <c r="U50" s="12"/>
      <c r="V50" s="12"/>
      <c r="W50" s="15"/>
    </row>
    <row r="51" spans="4:23" x14ac:dyDescent="0.25">
      <c r="D51" s="12"/>
      <c r="E51" s="12"/>
      <c r="F51" s="12"/>
      <c r="G51" s="12"/>
      <c r="H51" s="12"/>
      <c r="I51" s="28"/>
      <c r="J51" s="28"/>
      <c r="K51" s="12"/>
      <c r="L51" s="35"/>
      <c r="M51" s="12"/>
      <c r="N51" s="35"/>
      <c r="O51" s="12"/>
      <c r="P51" s="12"/>
      <c r="Q51" s="12"/>
      <c r="R51" s="12"/>
      <c r="S51" s="12"/>
      <c r="T51" s="12"/>
      <c r="U51" s="12"/>
      <c r="V51" s="12"/>
      <c r="W51" s="15"/>
    </row>
    <row r="52" spans="4:23" x14ac:dyDescent="0.25">
      <c r="D52" s="12"/>
      <c r="E52" s="12"/>
      <c r="F52" s="12"/>
      <c r="G52" s="12"/>
      <c r="H52" s="12"/>
      <c r="I52" s="28"/>
      <c r="J52" s="28"/>
      <c r="K52" s="12"/>
      <c r="L52" s="35"/>
      <c r="M52" s="15"/>
      <c r="N52" s="15"/>
      <c r="O52" s="12"/>
      <c r="P52" s="12"/>
      <c r="Q52" s="12"/>
      <c r="R52" s="12"/>
      <c r="S52" s="12"/>
      <c r="T52" s="12"/>
      <c r="U52" s="12"/>
      <c r="V52" s="12"/>
      <c r="W52" s="15"/>
    </row>
    <row r="53" spans="4:23" x14ac:dyDescent="0.25">
      <c r="D53" s="12"/>
      <c r="E53" s="12"/>
      <c r="F53" s="12"/>
      <c r="G53" s="12"/>
      <c r="H53" s="12"/>
      <c r="I53" s="28"/>
      <c r="J53" s="28"/>
      <c r="K53" s="12"/>
      <c r="L53" s="35"/>
      <c r="M53" s="15"/>
      <c r="N53" s="36"/>
      <c r="O53" s="12"/>
      <c r="P53" s="12"/>
      <c r="Q53" s="12"/>
      <c r="R53" s="12"/>
      <c r="S53" s="12"/>
      <c r="T53" s="12"/>
      <c r="U53" s="12"/>
      <c r="V53" s="12"/>
      <c r="W53" s="15"/>
    </row>
    <row r="54" spans="4:23" x14ac:dyDescent="0.25">
      <c r="D54" s="12"/>
      <c r="E54" s="12"/>
      <c r="F54" s="12"/>
      <c r="G54" s="12"/>
      <c r="H54" s="12"/>
      <c r="I54" s="28"/>
      <c r="J54" s="28"/>
      <c r="K54" s="12"/>
      <c r="L54" s="35"/>
      <c r="M54" s="28"/>
      <c r="N54" s="28"/>
      <c r="O54" s="12"/>
      <c r="P54" s="12"/>
      <c r="Q54" s="12"/>
      <c r="R54" s="12"/>
      <c r="S54" s="12"/>
      <c r="T54" s="12"/>
      <c r="U54" s="12"/>
      <c r="V54" s="12"/>
      <c r="W54" s="15"/>
    </row>
    <row r="55" spans="4:23" x14ac:dyDescent="0.25">
      <c r="D55" s="12"/>
      <c r="E55" s="12"/>
      <c r="F55" s="12"/>
      <c r="G55" s="12"/>
      <c r="H55" s="12"/>
      <c r="I55" s="28"/>
      <c r="J55" s="28"/>
      <c r="K55" s="12"/>
      <c r="L55" s="35"/>
      <c r="M55" s="15"/>
      <c r="N55" s="15"/>
      <c r="O55" s="12"/>
      <c r="P55" s="12"/>
      <c r="Q55" s="12"/>
      <c r="R55" s="12"/>
      <c r="S55" s="12"/>
      <c r="T55" s="12"/>
      <c r="U55" s="12"/>
      <c r="V55" s="12"/>
      <c r="W55" s="15"/>
    </row>
    <row r="56" spans="4:23" x14ac:dyDescent="0.25">
      <c r="D56" s="12"/>
      <c r="E56" s="12"/>
      <c r="F56" s="12"/>
      <c r="G56" s="12"/>
      <c r="H56" s="12"/>
      <c r="I56" s="28"/>
      <c r="J56" s="28"/>
      <c r="K56" s="12"/>
      <c r="L56" s="35"/>
      <c r="M56" s="15"/>
      <c r="N56" s="15"/>
      <c r="O56" s="12"/>
      <c r="P56" s="12"/>
      <c r="Q56" s="12"/>
      <c r="R56" s="12"/>
      <c r="S56" s="12"/>
      <c r="T56" s="12"/>
      <c r="U56" s="12"/>
      <c r="V56" s="12"/>
      <c r="W56" s="15"/>
    </row>
    <row r="57" spans="4:23" x14ac:dyDescent="0.25">
      <c r="D57" s="12"/>
      <c r="E57" s="12"/>
      <c r="F57" s="12"/>
      <c r="G57" s="12"/>
      <c r="H57" s="12"/>
      <c r="I57" s="28"/>
      <c r="J57" s="28"/>
      <c r="K57" s="12"/>
      <c r="L57" s="35"/>
      <c r="M57" s="15"/>
      <c r="N57" s="15"/>
      <c r="O57" s="12"/>
      <c r="P57" s="12"/>
      <c r="Q57" s="12"/>
      <c r="R57" s="12"/>
      <c r="S57" s="28"/>
      <c r="T57" s="12"/>
      <c r="U57" s="28"/>
      <c r="V57" s="12"/>
      <c r="W57" s="15"/>
    </row>
    <row r="58" spans="4:23" x14ac:dyDescent="0.25">
      <c r="D58" s="12"/>
      <c r="E58" s="12"/>
      <c r="F58" s="12"/>
      <c r="G58" s="12"/>
      <c r="H58" s="12"/>
      <c r="I58" s="28"/>
      <c r="J58" s="28"/>
      <c r="K58" s="12"/>
      <c r="L58" s="35"/>
      <c r="M58" s="15"/>
      <c r="N58" s="15"/>
      <c r="O58" s="12"/>
      <c r="P58" s="12"/>
      <c r="Q58" s="12"/>
      <c r="R58" s="12"/>
      <c r="S58" s="28"/>
      <c r="T58" s="15"/>
      <c r="U58" s="15"/>
      <c r="V58" s="15"/>
      <c r="W58" s="15"/>
    </row>
    <row r="59" spans="4:23" x14ac:dyDescent="0.25">
      <c r="D59" s="12"/>
      <c r="E59" s="12"/>
      <c r="F59" s="28"/>
      <c r="G59" s="28"/>
      <c r="H59" s="12"/>
      <c r="I59" s="12"/>
      <c r="J59" s="12"/>
      <c r="K59" s="12"/>
      <c r="L59" s="35"/>
      <c r="M59" s="15"/>
      <c r="N59" s="15"/>
      <c r="O59" s="12"/>
      <c r="P59" s="12"/>
      <c r="Q59" s="12"/>
      <c r="R59" s="12"/>
      <c r="S59" s="15"/>
      <c r="T59" s="15"/>
      <c r="U59" s="15"/>
      <c r="V59" s="15"/>
      <c r="W59" s="15"/>
    </row>
    <row r="60" spans="4:23" x14ac:dyDescent="0.25">
      <c r="D60" s="12"/>
      <c r="E60" s="12"/>
      <c r="F60" s="12"/>
      <c r="G60" s="12"/>
      <c r="H60" s="12"/>
      <c r="I60" s="12"/>
      <c r="J60" s="12"/>
      <c r="K60" s="12"/>
      <c r="L60" s="12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4:23" x14ac:dyDescent="0.25">
      <c r="D61" s="12"/>
      <c r="E61" s="12"/>
      <c r="F61" s="12"/>
      <c r="G61" s="12"/>
      <c r="H61" s="12"/>
      <c r="I61" s="28"/>
      <c r="J61" s="28"/>
      <c r="K61" s="12"/>
      <c r="L61" s="12"/>
      <c r="M61" s="15"/>
      <c r="N61" s="15"/>
      <c r="O61" s="15"/>
      <c r="P61" s="28"/>
      <c r="Q61" s="15"/>
      <c r="R61" s="15"/>
      <c r="S61" s="15"/>
      <c r="T61" s="15"/>
      <c r="U61" s="15"/>
      <c r="V61" s="15"/>
      <c r="W61" s="15"/>
    </row>
    <row r="62" spans="4:23" x14ac:dyDescent="0.25">
      <c r="D62" s="12"/>
      <c r="E62" s="12"/>
      <c r="F62" s="12"/>
      <c r="G62" s="12"/>
      <c r="H62" s="12"/>
      <c r="I62" s="12"/>
      <c r="J62" s="12"/>
      <c r="K62" s="12"/>
      <c r="L62" s="12"/>
      <c r="M62" s="15"/>
      <c r="N62" s="15"/>
      <c r="O62" s="28"/>
      <c r="P62" s="28"/>
      <c r="Q62" s="15"/>
      <c r="R62" s="15"/>
      <c r="S62" s="15"/>
      <c r="T62" s="15"/>
      <c r="U62" s="15"/>
      <c r="V62" s="15"/>
      <c r="W62" s="15"/>
    </row>
    <row r="63" spans="4:23" x14ac:dyDescent="0.25">
      <c r="D63" s="28"/>
      <c r="E63" s="28"/>
      <c r="F63" s="15"/>
      <c r="G63" s="15"/>
      <c r="H63" s="15"/>
      <c r="I63" s="15"/>
      <c r="J63" s="15"/>
      <c r="K63" s="28"/>
      <c r="L63" s="28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4:23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4:23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4:23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4:23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4:23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4:23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4:23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4:23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4:23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4:23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4:23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4:23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4:23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4:23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4:23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4:23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4:23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4:23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4:23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4:23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4:23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4:23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4:23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4:23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4:23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4:23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4:23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4:23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4:23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4:23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4:23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4:23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4:23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4:23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4:23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</sheetData>
  <sheetProtection sheet="1" objects="1" scenarios="1"/>
  <mergeCells count="16">
    <mergeCell ref="U45:V45"/>
    <mergeCell ref="K45:L45"/>
    <mergeCell ref="I45:J45"/>
    <mergeCell ref="A28:C28"/>
    <mergeCell ref="E1:G1"/>
    <mergeCell ref="A1:C1"/>
    <mergeCell ref="A5:C5"/>
    <mergeCell ref="A25:C25"/>
    <mergeCell ref="D45:E45"/>
    <mergeCell ref="F45:G45"/>
    <mergeCell ref="S45:T45"/>
    <mergeCell ref="O45:P45"/>
    <mergeCell ref="Q45:R45"/>
    <mergeCell ref="O44:R44"/>
    <mergeCell ref="M45:N45"/>
    <mergeCell ref="L1:O1"/>
  </mergeCells>
  <phoneticPr fontId="1" type="noConversion"/>
  <conditionalFormatting sqref="I1">
    <cfRule type="containsText" dxfId="0" priority="1" operator="containsText" text="si">
      <formula>NOT(ISERROR(SEARCH("si",I1)))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List Box 5">
              <controlPr defaultSize="0" autoLine="0" autoPict="0">
                <anchor moveWithCells="1">
                  <from>
                    <xdr:col>0</xdr:col>
                    <xdr:colOff>15240</xdr:colOff>
                    <xdr:row>5</xdr:row>
                    <xdr:rowOff>0</xdr:rowOff>
                  </from>
                  <to>
                    <xdr:col>2</xdr:col>
                    <xdr:colOff>502920</xdr:colOff>
                    <xdr:row>5</xdr:row>
                    <xdr:rowOff>396240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List Box 6">
              <controlPr defaultSize="0" autoLine="0" autoPict="0">
                <anchor moveWithCells="1">
                  <from>
                    <xdr:col>0</xdr:col>
                    <xdr:colOff>15240</xdr:colOff>
                    <xdr:row>28</xdr:row>
                    <xdr:rowOff>0</xdr:rowOff>
                  </from>
                  <to>
                    <xdr:col>2</xdr:col>
                    <xdr:colOff>502920</xdr:colOff>
                    <xdr:row>28</xdr:row>
                    <xdr:rowOff>396240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27"/>
  <sheetViews>
    <sheetView workbookViewId="0">
      <selection activeCell="E26" sqref="E26"/>
    </sheetView>
  </sheetViews>
  <sheetFormatPr defaultRowHeight="13.2" x14ac:dyDescent="0.25"/>
  <cols>
    <col min="1" max="1" width="12.77734375" bestFit="1" customWidth="1"/>
    <col min="3" max="3" width="9.5546875" bestFit="1" customWidth="1"/>
    <col min="4" max="4" width="10.5546875" customWidth="1"/>
    <col min="6" max="6" width="12.33203125" bestFit="1" customWidth="1"/>
    <col min="10" max="10" width="11.33203125" bestFit="1" customWidth="1"/>
  </cols>
  <sheetData>
    <row r="1" spans="1:10" x14ac:dyDescent="0.25">
      <c r="A1" s="37" t="s">
        <v>55</v>
      </c>
      <c r="B1" s="38" t="s">
        <v>61</v>
      </c>
      <c r="C1" s="38" t="s">
        <v>62</v>
      </c>
      <c r="D1" s="39" t="s">
        <v>63</v>
      </c>
      <c r="E1" s="3"/>
    </row>
    <row r="2" spans="1:10" x14ac:dyDescent="0.25">
      <c r="A2" s="26" t="s">
        <v>56</v>
      </c>
      <c r="B2" s="12">
        <v>0.96</v>
      </c>
      <c r="C2" s="12">
        <v>775</v>
      </c>
      <c r="D2" s="27">
        <v>2500</v>
      </c>
      <c r="E2" s="3"/>
    </row>
    <row r="3" spans="1:10" x14ac:dyDescent="0.25">
      <c r="A3" s="26" t="s">
        <v>57</v>
      </c>
      <c r="B3" s="12">
        <v>1.1100000000000001</v>
      </c>
      <c r="C3" s="12">
        <v>745</v>
      </c>
      <c r="D3" s="27">
        <v>2230</v>
      </c>
      <c r="E3" s="3"/>
    </row>
    <row r="4" spans="1:10" x14ac:dyDescent="0.25">
      <c r="A4" s="26" t="s">
        <v>58</v>
      </c>
      <c r="B4" s="12">
        <v>1.1140000000000001</v>
      </c>
      <c r="C4" s="12">
        <v>858</v>
      </c>
      <c r="D4" s="27">
        <v>2510</v>
      </c>
      <c r="E4" s="3"/>
    </row>
    <row r="5" spans="1:10" x14ac:dyDescent="0.25">
      <c r="A5" s="26" t="s">
        <v>59</v>
      </c>
      <c r="B5" s="12">
        <v>1.3</v>
      </c>
      <c r="C5" s="12">
        <v>703</v>
      </c>
      <c r="D5" s="27">
        <v>2203</v>
      </c>
      <c r="E5" s="3"/>
    </row>
    <row r="6" spans="1:10" x14ac:dyDescent="0.25">
      <c r="A6" s="26" t="s">
        <v>60</v>
      </c>
      <c r="B6" s="12">
        <v>1.6</v>
      </c>
      <c r="C6" s="12">
        <v>805</v>
      </c>
      <c r="D6" s="27">
        <v>2530</v>
      </c>
      <c r="E6" s="3"/>
    </row>
    <row r="7" spans="1:10" x14ac:dyDescent="0.25">
      <c r="A7" s="33"/>
      <c r="B7" s="15"/>
      <c r="C7" s="15"/>
      <c r="D7" s="34"/>
    </row>
    <row r="8" spans="1:10" x14ac:dyDescent="0.25">
      <c r="A8" s="62">
        <v>1</v>
      </c>
      <c r="B8" s="43"/>
      <c r="C8" s="43"/>
      <c r="D8" s="44"/>
    </row>
    <row r="9" spans="1:10" x14ac:dyDescent="0.25">
      <c r="A9" s="49"/>
      <c r="B9" s="50"/>
      <c r="C9" s="50"/>
      <c r="D9" s="50"/>
      <c r="E9" s="15"/>
    </row>
    <row r="10" spans="1:10" x14ac:dyDescent="0.25">
      <c r="A10" s="54" t="s">
        <v>64</v>
      </c>
      <c r="B10" s="51"/>
      <c r="C10" s="52"/>
      <c r="D10" s="12"/>
      <c r="E10" s="15"/>
      <c r="G10" s="28"/>
      <c r="J10" s="45"/>
    </row>
    <row r="11" spans="1:10" x14ac:dyDescent="0.25">
      <c r="A11" s="55" t="s">
        <v>65</v>
      </c>
      <c r="B11" s="12">
        <v>25</v>
      </c>
      <c r="C11" s="58">
        <v>10</v>
      </c>
      <c r="D11" s="12"/>
      <c r="E11" s="15"/>
      <c r="G11" s="28"/>
    </row>
    <row r="12" spans="1:10" x14ac:dyDescent="0.25">
      <c r="A12" s="55" t="s">
        <v>66</v>
      </c>
      <c r="B12" s="12">
        <v>40</v>
      </c>
      <c r="C12" s="58">
        <v>10</v>
      </c>
      <c r="D12" s="12"/>
      <c r="E12" s="15"/>
      <c r="G12" s="28"/>
    </row>
    <row r="13" spans="1:10" x14ac:dyDescent="0.25">
      <c r="A13" s="55" t="s">
        <v>68</v>
      </c>
      <c r="B13" s="12">
        <v>40</v>
      </c>
      <c r="C13" s="58">
        <v>15</v>
      </c>
      <c r="D13" s="12"/>
      <c r="E13" s="15"/>
      <c r="G13" s="28"/>
    </row>
    <row r="14" spans="1:10" x14ac:dyDescent="0.25">
      <c r="A14" s="55" t="s">
        <v>67</v>
      </c>
      <c r="B14" s="12">
        <v>40</v>
      </c>
      <c r="C14" s="58">
        <v>25</v>
      </c>
      <c r="D14" s="12"/>
      <c r="E14" s="15"/>
      <c r="G14" s="28"/>
    </row>
    <row r="15" spans="1:10" x14ac:dyDescent="0.25">
      <c r="A15" s="55" t="s">
        <v>69</v>
      </c>
      <c r="B15" s="12">
        <v>50</v>
      </c>
      <c r="C15" s="58">
        <v>10</v>
      </c>
      <c r="D15" s="12"/>
      <c r="E15" s="15"/>
      <c r="G15" s="28"/>
    </row>
    <row r="16" spans="1:10" x14ac:dyDescent="0.25">
      <c r="A16" s="55" t="s">
        <v>70</v>
      </c>
      <c r="B16" s="12">
        <v>50</v>
      </c>
      <c r="C16" s="58">
        <v>20</v>
      </c>
      <c r="D16" s="12"/>
      <c r="E16" s="53"/>
      <c r="G16" s="28"/>
    </row>
    <row r="17" spans="1:7" x14ac:dyDescent="0.25">
      <c r="A17" s="55" t="s">
        <v>71</v>
      </c>
      <c r="B17" s="12">
        <v>60</v>
      </c>
      <c r="C17" s="58">
        <v>10</v>
      </c>
      <c r="D17" s="35"/>
      <c r="E17" s="28"/>
      <c r="G17" s="28"/>
    </row>
    <row r="18" spans="1:7" x14ac:dyDescent="0.25">
      <c r="A18" s="55" t="s">
        <v>72</v>
      </c>
      <c r="B18" s="12">
        <v>60</v>
      </c>
      <c r="C18" s="58">
        <v>15</v>
      </c>
      <c r="D18" s="35"/>
      <c r="E18" s="28"/>
      <c r="G18" s="28"/>
    </row>
    <row r="19" spans="1:7" x14ac:dyDescent="0.25">
      <c r="A19" s="26" t="s">
        <v>73</v>
      </c>
      <c r="B19" s="12">
        <v>60</v>
      </c>
      <c r="C19" s="58">
        <v>25</v>
      </c>
      <c r="D19" s="35"/>
      <c r="E19" s="28"/>
    </row>
    <row r="20" spans="1:7" x14ac:dyDescent="0.25">
      <c r="A20" s="26" t="s">
        <v>74</v>
      </c>
      <c r="B20" s="12">
        <v>60</v>
      </c>
      <c r="C20" s="58">
        <v>38</v>
      </c>
      <c r="D20" s="35"/>
      <c r="E20" s="28"/>
    </row>
    <row r="21" spans="1:7" x14ac:dyDescent="0.25">
      <c r="A21" s="29" t="s">
        <v>75</v>
      </c>
      <c r="B21" s="12">
        <v>80</v>
      </c>
      <c r="C21" s="58">
        <v>15</v>
      </c>
      <c r="D21" s="35"/>
      <c r="E21" s="28"/>
    </row>
    <row r="22" spans="1:7" x14ac:dyDescent="0.25">
      <c r="A22" s="29" t="s">
        <v>76</v>
      </c>
      <c r="B22" s="12">
        <v>80</v>
      </c>
      <c r="C22" s="58">
        <v>25</v>
      </c>
      <c r="D22" s="35"/>
      <c r="E22" s="28"/>
    </row>
    <row r="23" spans="1:7" x14ac:dyDescent="0.25">
      <c r="A23" s="29" t="s">
        <v>77</v>
      </c>
      <c r="B23" s="12">
        <v>80</v>
      </c>
      <c r="C23" s="58">
        <v>38</v>
      </c>
      <c r="D23" s="35"/>
      <c r="E23" s="28"/>
    </row>
    <row r="24" spans="1:7" x14ac:dyDescent="0.25">
      <c r="A24" s="29" t="s">
        <v>78</v>
      </c>
      <c r="B24" s="12">
        <v>120</v>
      </c>
      <c r="C24" s="58">
        <v>20</v>
      </c>
      <c r="D24" s="35"/>
      <c r="E24" s="28"/>
    </row>
    <row r="25" spans="1:7" x14ac:dyDescent="0.25">
      <c r="A25" s="29" t="s">
        <v>79</v>
      </c>
      <c r="B25" s="12">
        <v>120</v>
      </c>
      <c r="C25" s="58">
        <v>38</v>
      </c>
      <c r="D25" s="35"/>
      <c r="E25" s="28"/>
    </row>
    <row r="26" spans="1:7" x14ac:dyDescent="0.25">
      <c r="A26" s="29"/>
      <c r="B26" s="12"/>
      <c r="C26" s="56"/>
      <c r="D26" s="36"/>
      <c r="E26" s="28"/>
    </row>
    <row r="27" spans="1:7" x14ac:dyDescent="0.25">
      <c r="A27" s="62">
        <v>12</v>
      </c>
      <c r="B27" s="43"/>
      <c r="C27" s="44"/>
    </row>
  </sheetData>
  <sheetProtection sheet="1" objects="1" scenario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Mirco</dc:creator>
  <cp:lastModifiedBy>Mirco</cp:lastModifiedBy>
  <dcterms:created xsi:type="dcterms:W3CDTF">2010-11-20T15:37:18Z</dcterms:created>
  <dcterms:modified xsi:type="dcterms:W3CDTF">2014-09-27T22:04:50Z</dcterms:modified>
</cp:coreProperties>
</file>